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I\Dropbox\Consultoria PAMUPE ANED-SEN\Documentos compartidos PAMUPE-ANED\Productos\Producto 5.- PROGRAMA PAMUPE\"/>
    </mc:Choice>
  </mc:AlternateContent>
  <xr:revisionPtr revIDLastSave="0" documentId="13_ncr:1_{5FEA5EAF-62C5-4A4F-A5EC-EDD46F9AF798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Costo por componente" sheetId="2" r:id="rId1"/>
    <sheet name="Costos unitarios" sheetId="3" r:id="rId2"/>
    <sheet name="Con valor Unitario" sheetId="1" r:id="rId3"/>
    <sheet name="Con % del costo" sheetId="4" r:id="rId4"/>
    <sheet name="Curva de demanda" sheetId="5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6" i="1" l="1"/>
  <c r="D71" i="1"/>
  <c r="D70" i="1"/>
  <c r="B30" i="1" l="1"/>
  <c r="B67" i="1"/>
  <c r="B46" i="1"/>
  <c r="D67" i="1"/>
  <c r="B60" i="1"/>
  <c r="E42" i="1"/>
  <c r="B50" i="1"/>
  <c r="B52" i="1"/>
  <c r="C60" i="1" s="1"/>
  <c r="E5" i="1"/>
  <c r="B13" i="1"/>
  <c r="B23" i="1" l="1"/>
  <c r="B9" i="1"/>
  <c r="B15" i="1" s="1"/>
  <c r="C23" i="1" s="1"/>
  <c r="B34" i="1"/>
  <c r="E8" i="4"/>
  <c r="D28" i="4"/>
  <c r="B71" i="1"/>
  <c r="E47" i="1" s="1"/>
  <c r="B70" i="1"/>
  <c r="B33" i="1"/>
  <c r="E43" i="4"/>
  <c r="D63" i="4" s="1"/>
  <c r="E45" i="1"/>
  <c r="D69" i="1" s="1"/>
  <c r="E8" i="1"/>
  <c r="D32" i="1" s="1"/>
  <c r="B17" i="4"/>
  <c r="C54" i="4" l="1"/>
  <c r="C19" i="4"/>
  <c r="E12" i="1"/>
  <c r="E11" i="1"/>
  <c r="B34" i="4"/>
  <c r="B59" i="4"/>
  <c r="B58" i="4"/>
  <c r="B60" i="4" s="1"/>
  <c r="C57" i="4"/>
  <c r="D57" i="4" s="1"/>
  <c r="B54" i="4"/>
  <c r="B55" i="4" s="1"/>
  <c r="C52" i="4"/>
  <c r="B52" i="4"/>
  <c r="B51" i="4"/>
  <c r="C50" i="4"/>
  <c r="D50" i="4" s="1"/>
  <c r="E50" i="4" s="1"/>
  <c r="E47" i="4"/>
  <c r="E46" i="4"/>
  <c r="B24" i="4"/>
  <c r="B23" i="4"/>
  <c r="B25" i="4" s="1"/>
  <c r="D22" i="4"/>
  <c r="D23" i="4" s="1"/>
  <c r="E23" i="4" s="1"/>
  <c r="C22" i="4"/>
  <c r="B19" i="4"/>
  <c r="D19" i="4" s="1"/>
  <c r="C17" i="4"/>
  <c r="D17" i="4"/>
  <c r="E17" i="4" s="1"/>
  <c r="B16" i="4"/>
  <c r="C15" i="4"/>
  <c r="D15" i="4" s="1"/>
  <c r="E15" i="4" s="1"/>
  <c r="E12" i="4"/>
  <c r="E11" i="4"/>
  <c r="B53" i="4" l="1"/>
  <c r="D54" i="4"/>
  <c r="E54" i="4" s="1"/>
  <c r="B18" i="4"/>
  <c r="D52" i="4"/>
  <c r="E52" i="4" s="1"/>
  <c r="D59" i="4"/>
  <c r="E59" i="4" s="1"/>
  <c r="E57" i="4"/>
  <c r="D58" i="4"/>
  <c r="E58" i="4" s="1"/>
  <c r="E51" i="4"/>
  <c r="E53" i="4" s="1"/>
  <c r="E16" i="4"/>
  <c r="E18" i="4" s="1"/>
  <c r="E19" i="4"/>
  <c r="D20" i="4"/>
  <c r="D21" i="4"/>
  <c r="D16" i="4"/>
  <c r="D18" i="4" s="1"/>
  <c r="B33" i="4" s="1"/>
  <c r="D26" i="4" s="1"/>
  <c r="B20" i="4"/>
  <c r="B21" i="4" s="1"/>
  <c r="E22" i="4"/>
  <c r="D25" i="4"/>
  <c r="D51" i="4"/>
  <c r="B56" i="4"/>
  <c r="D24" i="4"/>
  <c r="E24" i="4" s="1"/>
  <c r="D55" i="4" l="1"/>
  <c r="D56" i="4" s="1"/>
  <c r="D53" i="4"/>
  <c r="B68" i="4" s="1"/>
  <c r="D30" i="4"/>
  <c r="D29" i="4"/>
  <c r="E60" i="4"/>
  <c r="E55" i="4"/>
  <c r="E56" i="4" s="1"/>
  <c r="E25" i="4"/>
  <c r="D60" i="4"/>
  <c r="B69" i="4" s="1"/>
  <c r="E20" i="4"/>
  <c r="E21" i="4"/>
  <c r="D31" i="4" l="1"/>
  <c r="D61" i="4"/>
  <c r="D65" i="4"/>
  <c r="D64" i="4"/>
  <c r="B65" i="1"/>
  <c r="B64" i="1"/>
  <c r="B66" i="1" s="1"/>
  <c r="C63" i="1"/>
  <c r="D63" i="1" s="1"/>
  <c r="D64" i="1" s="1"/>
  <c r="E64" i="1" s="1"/>
  <c r="C58" i="1"/>
  <c r="B58" i="1"/>
  <c r="B57" i="1"/>
  <c r="C56" i="1"/>
  <c r="D56" i="1" s="1"/>
  <c r="E49" i="1"/>
  <c r="E48" i="1"/>
  <c r="D66" i="4" l="1"/>
  <c r="D58" i="1"/>
  <c r="E58" i="1" s="1"/>
  <c r="D72" i="1"/>
  <c r="B59" i="1"/>
  <c r="D60" i="1"/>
  <c r="E60" i="1" s="1"/>
  <c r="D57" i="1"/>
  <c r="D59" i="1" s="1"/>
  <c r="E56" i="1"/>
  <c r="B61" i="1"/>
  <c r="B62" i="1" s="1"/>
  <c r="E63" i="1"/>
  <c r="D66" i="1"/>
  <c r="D65" i="1"/>
  <c r="E65" i="1" s="1"/>
  <c r="E61" i="1" l="1"/>
  <c r="E62" i="1" s="1"/>
  <c r="D61" i="1"/>
  <c r="D62" i="1" s="1"/>
  <c r="B74" i="1" s="1"/>
  <c r="E57" i="1"/>
  <c r="E59" i="1" s="1"/>
  <c r="E66" i="1"/>
  <c r="D30" i="1" l="1"/>
  <c r="C26" i="1"/>
  <c r="D34" i="1"/>
  <c r="D33" i="1"/>
  <c r="D35" i="1" s="1"/>
  <c r="B27" i="1"/>
  <c r="B29" i="1" s="1"/>
  <c r="B28" i="1"/>
  <c r="B21" i="1"/>
  <c r="B7" i="2"/>
  <c r="D7" i="2"/>
  <c r="W16" i="2"/>
  <c r="W15" i="2"/>
  <c r="D14" i="3"/>
  <c r="Z15" i="2"/>
  <c r="Z16" i="2"/>
  <c r="X14" i="2"/>
  <c r="Y14" i="2"/>
  <c r="Z14" i="2"/>
  <c r="W14" i="2"/>
  <c r="D9" i="3"/>
  <c r="D4" i="3"/>
  <c r="B20" i="1"/>
  <c r="C21" i="1"/>
  <c r="C19" i="1"/>
  <c r="G9" i="3"/>
  <c r="G14" i="3"/>
  <c r="G20" i="3"/>
  <c r="G26" i="3"/>
  <c r="G28" i="3"/>
  <c r="G4" i="3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B14" i="2"/>
  <c r="B5" i="2"/>
  <c r="B6" i="2" s="1"/>
  <c r="C5" i="2"/>
  <c r="C6" i="2" s="1"/>
  <c r="C7" i="2" s="1"/>
  <c r="D5" i="2"/>
  <c r="D6" i="2" s="1"/>
  <c r="E5" i="2"/>
  <c r="E6" i="2" s="1"/>
  <c r="E7" i="2" s="1"/>
  <c r="F5" i="2"/>
  <c r="F6" i="2" s="1"/>
  <c r="F7" i="2" s="1"/>
  <c r="G5" i="2"/>
  <c r="G6" i="2" s="1"/>
  <c r="G7" i="2" s="1"/>
  <c r="I5" i="2"/>
  <c r="H5" i="2"/>
  <c r="I4" i="2"/>
  <c r="H4" i="2"/>
  <c r="E10" i="1" l="1"/>
  <c r="E9" i="1"/>
  <c r="H6" i="2"/>
  <c r="H7" i="2" s="1"/>
  <c r="I6" i="2"/>
  <c r="B24" i="1" s="1"/>
  <c r="B25" i="1" s="1"/>
  <c r="B22" i="1"/>
  <c r="I7" i="2"/>
  <c r="D21" i="1"/>
  <c r="E21" i="1" s="1"/>
  <c r="D26" i="1" l="1"/>
  <c r="E26" i="1" l="1"/>
  <c r="D27" i="1"/>
  <c r="E27" i="1" s="1"/>
  <c r="D28" i="1"/>
  <c r="E28" i="1" s="1"/>
  <c r="E29" i="1" l="1"/>
  <c r="D29" i="1"/>
  <c r="D19" i="1" l="1"/>
  <c r="E19" i="1" s="1"/>
  <c r="E20" i="1" s="1"/>
  <c r="D20" i="1" l="1"/>
  <c r="E22" i="1" l="1"/>
  <c r="D22" i="1"/>
  <c r="D23" i="1"/>
  <c r="E23" i="1" l="1"/>
  <c r="E24" i="1" s="1"/>
  <c r="E25" i="1" s="1"/>
  <c r="D24" i="1"/>
  <c r="D2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</author>
  </authors>
  <commentList>
    <comment ref="I3" authorId="0" shapeId="0" xr:uid="{7A44FEBE-9481-4029-AA1C-268962F01AB8}">
      <text>
        <r>
          <rPr>
            <b/>
            <sz val="9"/>
            <color indexed="81"/>
            <rFont val="Tahoma"/>
            <family val="2"/>
          </rPr>
          <t>REI:</t>
        </r>
        <r>
          <rPr>
            <sz val="9"/>
            <color indexed="81"/>
            <rFont val="Tahoma"/>
            <family val="2"/>
          </rPr>
          <t xml:space="preserve">
Max 7200 Wp x traker Total = 14400Wp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</author>
  </authors>
  <commentList>
    <comment ref="D11" authorId="0" shapeId="0" xr:uid="{AB5AB50B-F80D-4BB8-AA05-F86D1145A662}">
      <text>
        <r>
          <rPr>
            <b/>
            <sz val="9"/>
            <color indexed="81"/>
            <rFont val="Tahoma"/>
            <charset val="1"/>
          </rPr>
          <t>REI:</t>
        </r>
        <r>
          <rPr>
            <sz val="9"/>
            <color indexed="81"/>
            <rFont val="Tahoma"/>
            <charset val="1"/>
          </rPr>
          <t xml:space="preserve">
El sistema de monitoreo y control se incluye en los costos del regulador de carga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</author>
  </authors>
  <commentList>
    <comment ref="E19" authorId="0" shapeId="0" xr:uid="{0A20AD59-FD39-4E46-8F43-049221E05B38}">
      <text>
        <r>
          <rPr>
            <b/>
            <sz val="9"/>
            <color indexed="81"/>
            <rFont val="Tahoma"/>
            <family val="2"/>
          </rPr>
          <t>REI:</t>
        </r>
        <r>
          <rPr>
            <sz val="9"/>
            <color indexed="81"/>
            <rFont val="Tahoma"/>
            <family val="2"/>
          </rPr>
          <t xml:space="preserve">
$/Wp</t>
        </r>
      </text>
    </comment>
    <comment ref="E23" authorId="0" shapeId="0" xr:uid="{DA935EBC-2611-4CFD-899D-41BC8CED256D}">
      <text>
        <r>
          <rPr>
            <b/>
            <sz val="9"/>
            <color indexed="81"/>
            <rFont val="Tahoma"/>
            <family val="2"/>
          </rPr>
          <t>REI:</t>
        </r>
        <r>
          <rPr>
            <sz val="9"/>
            <color indexed="81"/>
            <rFont val="Tahoma"/>
            <family val="2"/>
          </rPr>
          <t xml:space="preserve">
$/Wp
</t>
        </r>
      </text>
    </comment>
    <comment ref="E26" authorId="0" shapeId="0" xr:uid="{85530BD2-0DA9-401D-8301-F1AD98234CEE}">
      <text>
        <r>
          <rPr>
            <b/>
            <sz val="9"/>
            <color indexed="81"/>
            <rFont val="Tahoma"/>
            <family val="2"/>
          </rPr>
          <t>REI:</t>
        </r>
        <r>
          <rPr>
            <sz val="9"/>
            <color indexed="81"/>
            <rFont val="Tahoma"/>
            <family val="2"/>
          </rPr>
          <t xml:space="preserve">
$/Wh</t>
        </r>
      </text>
    </comment>
    <comment ref="E56" authorId="0" shapeId="0" xr:uid="{76E827A3-264C-47E7-A088-2DDCE138F127}">
      <text>
        <r>
          <rPr>
            <b/>
            <sz val="9"/>
            <color indexed="81"/>
            <rFont val="Tahoma"/>
            <family val="2"/>
          </rPr>
          <t>REI:</t>
        </r>
        <r>
          <rPr>
            <sz val="9"/>
            <color indexed="81"/>
            <rFont val="Tahoma"/>
            <family val="2"/>
          </rPr>
          <t xml:space="preserve">
$/Wp</t>
        </r>
      </text>
    </comment>
    <comment ref="E60" authorId="0" shapeId="0" xr:uid="{2AB0035A-4163-4A7C-AEBF-0F35D8251894}">
      <text>
        <r>
          <rPr>
            <b/>
            <sz val="9"/>
            <color indexed="81"/>
            <rFont val="Tahoma"/>
            <family val="2"/>
          </rPr>
          <t>REI:</t>
        </r>
        <r>
          <rPr>
            <sz val="9"/>
            <color indexed="81"/>
            <rFont val="Tahoma"/>
            <family val="2"/>
          </rPr>
          <t xml:space="preserve">
$/Wp
</t>
        </r>
      </text>
    </comment>
    <comment ref="E63" authorId="0" shapeId="0" xr:uid="{7413D3C1-DEBC-412F-A773-FCDF2C40FD5E}">
      <text>
        <r>
          <rPr>
            <b/>
            <sz val="9"/>
            <color indexed="81"/>
            <rFont val="Tahoma"/>
            <family val="2"/>
          </rPr>
          <t>REI:</t>
        </r>
        <r>
          <rPr>
            <sz val="9"/>
            <color indexed="81"/>
            <rFont val="Tahoma"/>
            <family val="2"/>
          </rPr>
          <t xml:space="preserve">
$/Wh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</author>
  </authors>
  <commentList>
    <comment ref="E15" authorId="0" shapeId="0" xr:uid="{3E800E61-EA2D-4CE2-AAC4-F9B2AA090D3A}">
      <text>
        <r>
          <rPr>
            <b/>
            <sz val="9"/>
            <color indexed="81"/>
            <rFont val="Tahoma"/>
            <family val="2"/>
          </rPr>
          <t>REI:</t>
        </r>
        <r>
          <rPr>
            <sz val="9"/>
            <color indexed="81"/>
            <rFont val="Tahoma"/>
            <family val="2"/>
          </rPr>
          <t xml:space="preserve">
$/Wp</t>
        </r>
      </text>
    </comment>
    <comment ref="E19" authorId="0" shapeId="0" xr:uid="{0FDCBF4B-8B4C-4C39-BE0B-025F3C6BCB4D}">
      <text>
        <r>
          <rPr>
            <b/>
            <sz val="9"/>
            <color indexed="81"/>
            <rFont val="Tahoma"/>
            <family val="2"/>
          </rPr>
          <t>REI:</t>
        </r>
        <r>
          <rPr>
            <sz val="9"/>
            <color indexed="81"/>
            <rFont val="Tahoma"/>
            <family val="2"/>
          </rPr>
          <t xml:space="preserve">
$/Wp
</t>
        </r>
      </text>
    </comment>
    <comment ref="E22" authorId="0" shapeId="0" xr:uid="{218F789C-51EC-4B33-8397-62D211798D32}">
      <text>
        <r>
          <rPr>
            <b/>
            <sz val="9"/>
            <color indexed="81"/>
            <rFont val="Tahoma"/>
            <family val="2"/>
          </rPr>
          <t>REI:</t>
        </r>
        <r>
          <rPr>
            <sz val="9"/>
            <color indexed="81"/>
            <rFont val="Tahoma"/>
            <family val="2"/>
          </rPr>
          <t xml:space="preserve">
$/Wh</t>
        </r>
      </text>
    </comment>
    <comment ref="E50" authorId="0" shapeId="0" xr:uid="{1D507D2C-B265-4A85-A437-0BDCC51ECC57}">
      <text>
        <r>
          <rPr>
            <b/>
            <sz val="9"/>
            <color indexed="81"/>
            <rFont val="Tahoma"/>
            <family val="2"/>
          </rPr>
          <t>REI:</t>
        </r>
        <r>
          <rPr>
            <sz val="9"/>
            <color indexed="81"/>
            <rFont val="Tahoma"/>
            <family val="2"/>
          </rPr>
          <t xml:space="preserve">
$/Wp</t>
        </r>
      </text>
    </comment>
    <comment ref="E54" authorId="0" shapeId="0" xr:uid="{A81D44B0-5EF7-48ED-B082-A18E58CFB24B}">
      <text>
        <r>
          <rPr>
            <b/>
            <sz val="9"/>
            <color indexed="81"/>
            <rFont val="Tahoma"/>
            <family val="2"/>
          </rPr>
          <t>REI:</t>
        </r>
        <r>
          <rPr>
            <sz val="9"/>
            <color indexed="81"/>
            <rFont val="Tahoma"/>
            <family val="2"/>
          </rPr>
          <t xml:space="preserve">
$/Wp
</t>
        </r>
      </text>
    </comment>
    <comment ref="E57" authorId="0" shapeId="0" xr:uid="{F983AE2A-751A-48DF-A804-46A99B4F309A}">
      <text>
        <r>
          <rPr>
            <b/>
            <sz val="9"/>
            <color indexed="81"/>
            <rFont val="Tahoma"/>
            <family val="2"/>
          </rPr>
          <t>REI:</t>
        </r>
        <r>
          <rPr>
            <sz val="9"/>
            <color indexed="81"/>
            <rFont val="Tahoma"/>
            <family val="2"/>
          </rPr>
          <t xml:space="preserve">
$/Wh</t>
        </r>
      </text>
    </comment>
  </commentList>
</comments>
</file>

<file path=xl/sharedStrings.xml><?xml version="1.0" encoding="utf-8"?>
<sst xmlns="http://schemas.openxmlformats.org/spreadsheetml/2006/main" count="377" uniqueCount="197">
  <si>
    <t>Ítem</t>
  </si>
  <si>
    <t>Electrolito Liquido</t>
  </si>
  <si>
    <t>Electrolito Liquido</t>
  </si>
  <si>
    <t>Electrolito Absorbido
(AGM)</t>
  </si>
  <si>
    <t>Electrolito Absorbido
(AGM)</t>
  </si>
  <si>
    <t>Electrolito en Gel</t>
  </si>
  <si>
    <t>Electrolito en Gel</t>
  </si>
  <si>
    <t>Voltaje de trabajo (V)</t>
  </si>
  <si>
    <t>Capacidad (Ah)</t>
  </si>
  <si>
    <t>Costo (U$S/Ah)</t>
  </si>
  <si>
    <t>1,2</t>
  </si>
  <si>
    <t>1,9</t>
  </si>
  <si>
    <t>1,74</t>
  </si>
  <si>
    <t>2,75</t>
  </si>
  <si>
    <t>1,9</t>
  </si>
  <si>
    <t>Profundidad (%)</t>
  </si>
  <si>
    <t>Vida útil (años)</t>
  </si>
  <si>
    <t>Mantenimiento (HH/año)</t>
  </si>
  <si>
    <t>Rendimiento (%)</t>
  </si>
  <si>
    <t>Montaje batería (%)</t>
  </si>
  <si>
    <t>1,5</t>
  </si>
  <si>
    <t>1,5</t>
  </si>
  <si>
    <t>MPPT</t>
  </si>
  <si>
    <t>Costo U$S</t>
  </si>
  <si>
    <t>Inversor
1000</t>
  </si>
  <si>
    <t>Inversor
1500</t>
  </si>
  <si>
    <t>Inversor
1700</t>
  </si>
  <si>
    <t>Inversor
2000</t>
  </si>
  <si>
    <t>Inversor
2500</t>
  </si>
  <si>
    <t>Inversor
3000</t>
  </si>
  <si>
    <t>Votaje de entrada (V)</t>
  </si>
  <si>
    <t>Voltaje de salida (V)</t>
  </si>
  <si>
    <t>Potencia (VA)</t>
  </si>
  <si>
    <t>Costo (U$S)</t>
  </si>
  <si>
    <t>Inversor
3500</t>
  </si>
  <si>
    <t>Inversor
4000</t>
  </si>
  <si>
    <t>inversor
5000</t>
  </si>
  <si>
    <t>Inversor
6000</t>
  </si>
  <si>
    <t>Inversor
7000</t>
  </si>
  <si>
    <t>Equipo</t>
  </si>
  <si>
    <t>Costo unitario</t>
  </si>
  <si>
    <t>Cantidad</t>
  </si>
  <si>
    <t>Global</t>
  </si>
  <si>
    <t>Total</t>
  </si>
  <si>
    <t>Sub Total Cotizado L</t>
  </si>
  <si>
    <t>Cambio del dólar</t>
  </si>
  <si>
    <t>Potencia panel (Wp)</t>
  </si>
  <si>
    <t>Montaje de paneles (L/panel)</t>
  </si>
  <si>
    <t>Sub Total paneles</t>
  </si>
  <si>
    <t>Almacenamiento bateria (Ah)</t>
  </si>
  <si>
    <t>Sub Total baterias</t>
  </si>
  <si>
    <t>Costo $/unidad Cotiz.</t>
  </si>
  <si>
    <t>Numero de baterias</t>
  </si>
  <si>
    <t>Vmp panel</t>
  </si>
  <si>
    <t>Potencia (A) (rango demaximo uso)</t>
  </si>
  <si>
    <t>5747 (100A@48V)</t>
  </si>
  <si>
    <t>200/480 (15 A@12-24V)</t>
  </si>
  <si>
    <t>300/720 (30A@12-24V)</t>
  </si>
  <si>
    <t>600/2400 (45A@12-48V)</t>
  </si>
  <si>
    <t>700/2880 (60A@12-48V)</t>
  </si>
  <si>
    <t>1450/5800 (100A@12-48V)</t>
  </si>
  <si>
    <t>CONTROLADOR</t>
  </si>
  <si>
    <t>CONTROLADOR INVERSOR</t>
  </si>
  <si>
    <t>Costo transporte a Honduras US$</t>
  </si>
  <si>
    <t>11500 (200A@48V)</t>
  </si>
  <si>
    <t>Descripción</t>
  </si>
  <si>
    <t>INVERSORES</t>
  </si>
  <si>
    <t>Costo promedio</t>
  </si>
  <si>
    <t>Unidad</t>
  </si>
  <si>
    <t>Costos duros</t>
  </si>
  <si>
    <t>US$/kWp</t>
  </si>
  <si>
    <t>748-2269</t>
  </si>
  <si>
    <t>Reguladores de carga (MPPT) y protección – Acoplamiento DC.</t>
  </si>
  <si>
    <t>2 Almacenamiento de energía y casa de equipos</t>
  </si>
  <si>
    <t>US$/kWh</t>
  </si>
  <si>
    <t>unit</t>
  </si>
  <si>
    <t>Casa de equipos (Edificio, gabinetes, contenedor, incl. cerca)</t>
  </si>
  <si>
    <t>3 Conversion</t>
  </si>
  <si>
    <t>US$/kVA</t>
  </si>
  <si>
    <t>150-1800</t>
  </si>
  <si>
    <t>Inversor, incl. cableado</t>
  </si>
  <si>
    <t>kVA</t>
  </si>
  <si>
    <t>EMS (Energy Management System)</t>
  </si>
  <si>
    <t>Backup, generador diesel</t>
  </si>
  <si>
    <t>4 Distribución y Consumo</t>
  </si>
  <si>
    <t>US$/cliente</t>
  </si>
  <si>
    <t>92-790</t>
  </si>
  <si>
    <t>Medidores y servicios de conección</t>
  </si>
  <si>
    <t>Costos blandos</t>
  </si>
  <si>
    <t>58-1698</t>
  </si>
  <si>
    <t>Capacitación y entrenamiento de operadores locales</t>
  </si>
  <si>
    <t>% de costos duros o kW (servicio AC)</t>
  </si>
  <si>
    <t>6 Logistica</t>
  </si>
  <si>
    <t>108-1918</t>
  </si>
  <si>
    <t>Costo trasporte marítimo internacional incluyendo aduanas.</t>
  </si>
  <si>
    <t>Costos de trasporte local</t>
  </si>
  <si>
    <t>Almacenamiento de equipos</t>
  </si>
  <si>
    <t>Seguros</t>
  </si>
  <si>
    <t>Rango de precios US$</t>
  </si>
  <si>
    <t>Costo promedio US$</t>
  </si>
  <si>
    <t>Costo promedio L</t>
  </si>
  <si>
    <t>Numero de paneles</t>
  </si>
  <si>
    <t>1 Generación</t>
  </si>
  <si>
    <t>Modulos Fotovoltaicos (MF) (incluyendo repuestos)</t>
  </si>
  <si>
    <t>* Basado en costos establecidos en el documento del PEAUE</t>
  </si>
  <si>
    <t xml:space="preserve">Estructuras de soporte de los MF </t>
  </si>
  <si>
    <t>(180 US$/panel)* US$</t>
  </si>
  <si>
    <t>Costo de estudio de "The World Bank/SMAP"</t>
  </si>
  <si>
    <t>Costos de instalación</t>
  </si>
  <si>
    <t>Sistema de monitoreo y control (incl. cableado, proteccion)</t>
  </si>
  <si>
    <t>baterias Lithium ion o acido en GEL</t>
  </si>
  <si>
    <t>Gabinetes y alojamiento 7% del costo</t>
  </si>
  <si>
    <t>US$/kW</t>
  </si>
  <si>
    <t>21% del costo del panel*   US$</t>
  </si>
  <si>
    <t>Costo de instalación</t>
  </si>
  <si>
    <t>Inversor
12000</t>
  </si>
  <si>
    <t>Inversor
10000</t>
  </si>
  <si>
    <t>48V</t>
  </si>
  <si>
    <t>1% del costo del kWh*</t>
  </si>
  <si>
    <t>m2 ó 7% del costo del kWh*</t>
  </si>
  <si>
    <t>7% del costo de kVA* US$</t>
  </si>
  <si>
    <t>1% del costo del kVA*</t>
  </si>
  <si>
    <t>US$/km</t>
  </si>
  <si>
    <t>Iluminación publica (si es aplicable)</t>
  </si>
  <si>
    <t>n. cliente o km</t>
  </si>
  <si>
    <t>Red interna (incl. postes, cableado y protecciones)</t>
  </si>
  <si>
    <t>Casa de equipos, gabinetes</t>
  </si>
  <si>
    <t>Costo Cotizado y del PEAUE</t>
  </si>
  <si>
    <t>5 Gerenciamiento e ingenieneria</t>
  </si>
  <si>
    <t>Baterías de ciclos profundos discriminados por tecnología de fabricación y voltaje</t>
  </si>
  <si>
    <t>Controlador MPPT 200 A / 48 V</t>
  </si>
  <si>
    <t>Montaje del controlador 1% del costo</t>
  </si>
  <si>
    <t>Potencia carga de controlador (kW)</t>
  </si>
  <si>
    <t>Su Total Controlador</t>
  </si>
  <si>
    <t>Numero de Usuarios</t>
  </si>
  <si>
    <t>US/kW</t>
  </si>
  <si>
    <t>Potencia instalda de inversores (kW)</t>
  </si>
  <si>
    <t>% de costos duros o kW (servicio CA)</t>
  </si>
  <si>
    <t>Estructura Paneles (180 US$/panel)</t>
  </si>
  <si>
    <t>Montaje de bateria 1% del costo</t>
  </si>
  <si>
    <t>Total Inversor (844 US$/KVA)</t>
  </si>
  <si>
    <t>Gerenciamiento e ingenieria (1698 US$/kWCA)</t>
  </si>
  <si>
    <t>Logistica  (1918 US$/kWCA)</t>
  </si>
  <si>
    <t>Datos base</t>
  </si>
  <si>
    <t>Valor</t>
  </si>
  <si>
    <t xml:space="preserve">Descripción </t>
  </si>
  <si>
    <t>Costos base</t>
  </si>
  <si>
    <t>Costo del controlador de 11.5 kW (L)</t>
  </si>
  <si>
    <t>Costo bateria de Litio 200Ah/12V (L)</t>
  </si>
  <si>
    <t xml:space="preserve">Valor </t>
  </si>
  <si>
    <t>Costo de inversor (L/KVA)</t>
  </si>
  <si>
    <t>Logistica (L/kWCA)</t>
  </si>
  <si>
    <t>Gerenciamiento e ingenieria (L/kWCA)</t>
  </si>
  <si>
    <t>Reducción interanual del costo de los paneles</t>
  </si>
  <si>
    <t>2006-2020 US$/Wp</t>
  </si>
  <si>
    <t>2015-2020 US$/kWh</t>
  </si>
  <si>
    <t>Baterias de Li-On 100 Ah 24 V</t>
  </si>
  <si>
    <t>Costos fijos</t>
  </si>
  <si>
    <t xml:space="preserve">Total costos fijos </t>
  </si>
  <si>
    <t>Reducción interanual del costo de baterias</t>
  </si>
  <si>
    <t>Conglomerado de 45 Usuarios</t>
  </si>
  <si>
    <t>Conglomerado de 668 Usuarios</t>
  </si>
  <si>
    <t>Reducción interanual del costo de baterias Li-On</t>
  </si>
  <si>
    <t>Gerenciamiento e ingenieria (% del costo total)</t>
  </si>
  <si>
    <t>Logistica (% del costo total)</t>
  </si>
  <si>
    <t>Costo de inversor(% del costo total)</t>
  </si>
  <si>
    <t>Total Inversor (10% del costo total)</t>
  </si>
  <si>
    <t>Gerenciamiento e ingenieria (11% del costo total)</t>
  </si>
  <si>
    <t>Logistica (6% del costo total)</t>
  </si>
  <si>
    <t>Costo Total basado en la generación</t>
  </si>
  <si>
    <t>Costo Total basado en el almacenamiento</t>
  </si>
  <si>
    <t>Total Inversor (7% del costo total)</t>
  </si>
  <si>
    <t>Costo de inversor (% del costo total)</t>
  </si>
  <si>
    <t>Logistica (3% del costo total)</t>
  </si>
  <si>
    <t>Gerenciamiento e ingenieria (7% del costo total)</t>
  </si>
  <si>
    <t>Costo Total</t>
  </si>
  <si>
    <t>2018-2022 US$/kWh</t>
  </si>
  <si>
    <t>Reducción interanual del costo de los paneles y electronicos</t>
  </si>
  <si>
    <t>Panel de 500 W</t>
  </si>
  <si>
    <t>Costo del modulo de FV 500 Wp (L)</t>
  </si>
  <si>
    <t>Red interna de distribución y medidor (Global PEAUE)</t>
  </si>
  <si>
    <t>Total Red interna de distribución (Global PEAUE)</t>
  </si>
  <si>
    <t>Red interna de distribución y medición (Global PEAUE)</t>
  </si>
  <si>
    <t>Logistica  (470 US$/kWCA)</t>
  </si>
  <si>
    <t>Gerenciamiento e ingenieria (832US$/kWCA)</t>
  </si>
  <si>
    <t>Hora</t>
  </si>
  <si>
    <t>Potencia kW</t>
  </si>
  <si>
    <t>Conglomerado de 45 Ususarios</t>
  </si>
  <si>
    <t>Tamaño maximo banco de baterias</t>
  </si>
  <si>
    <t>Numero de bancos de baterias</t>
  </si>
  <si>
    <t>Almacenamiento de la bateria (Ah)</t>
  </si>
  <si>
    <t>Potencia total instalada de modulos FV (WP)</t>
  </si>
  <si>
    <t>Numero de controladores</t>
  </si>
  <si>
    <t>1200/4900 (85A@12-48V)</t>
  </si>
  <si>
    <t>Controlador MPPT 75 A / 48 V (4000 W)</t>
  </si>
  <si>
    <t>Rango maximo del controlador @48VCD (WCD)</t>
  </si>
  <si>
    <t>Controlador MPPT (2880 W@48VDC)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</si>
</sst>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_-* #,##0.000_-;\-* #,##0.000_-;_-* &quot;-&quot;??_-;_-@_-"/>
    <numFmt numFmtId="166" formatCode="0.000"/>
    <numFmt numFmtId="167" formatCode="0.0%"/>
  </numFmts>
  <fonts count="16" x14ac:knownFonts="1">
    <font>
      <sz val="10"/>
      <name val="Arial"/>
      <family val="2"/>
    </font>
    <font>
      <sz val="10"/>
      <name val="Arial"/>
      <family val="2"/>
    </font>
    <font>
      <sz val="11"/>
      <name val="Calibri Bold"/>
      <family val="2"/>
    </font>
    <font>
      <sz val="11"/>
      <name val="Calibri Bold"/>
      <family val="2"/>
    </font>
    <font>
      <sz val="11"/>
      <name val="Calibri"/>
      <family val="2"/>
    </font>
    <font>
      <sz val="12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5" fillId="0" borderId="0" xfId="0" applyFont="1" applyAlignment="1">
      <alignment wrapText="1"/>
    </xf>
    <xf numFmtId="1" fontId="5" fillId="0" borderId="0" xfId="0" applyNumberFormat="1" applyFont="1" applyAlignment="1">
      <alignment wrapText="1"/>
    </xf>
    <xf numFmtId="0" fontId="6" fillId="2" borderId="3" xfId="0" applyFont="1" applyFill="1" applyBorder="1" applyAlignment="1">
      <alignment horizontal="center" vertical="center"/>
    </xf>
    <xf numFmtId="0" fontId="6" fillId="0" borderId="1" xfId="0" applyFont="1" applyBorder="1"/>
    <xf numFmtId="43" fontId="6" fillId="0" borderId="3" xfId="1" applyFont="1" applyBorder="1"/>
    <xf numFmtId="164" fontId="7" fillId="0" borderId="4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3" fontId="8" fillId="0" borderId="3" xfId="1" applyFont="1" applyBorder="1"/>
    <xf numFmtId="0" fontId="6" fillId="2" borderId="1" xfId="0" applyFont="1" applyFill="1" applyBorder="1" applyAlignment="1">
      <alignment vertical="center"/>
    </xf>
    <xf numFmtId="0" fontId="6" fillId="3" borderId="1" xfId="0" applyFont="1" applyFill="1" applyBorder="1"/>
    <xf numFmtId="43" fontId="6" fillId="3" borderId="3" xfId="1" applyFont="1" applyFill="1" applyBorder="1"/>
    <xf numFmtId="1" fontId="6" fillId="3" borderId="3" xfId="0" applyNumberFormat="1" applyFont="1" applyFill="1" applyBorder="1" applyAlignment="1">
      <alignment horizontal="center" vertical="center"/>
    </xf>
    <xf numFmtId="0" fontId="8" fillId="3" borderId="1" xfId="0" applyFont="1" applyFill="1" applyBorder="1"/>
    <xf numFmtId="43" fontId="8" fillId="3" borderId="3" xfId="1" applyFont="1" applyFill="1" applyBorder="1"/>
    <xf numFmtId="1" fontId="8" fillId="3" borderId="3" xfId="0" applyNumberFormat="1" applyFont="1" applyFill="1" applyBorder="1" applyAlignment="1">
      <alignment horizontal="center" vertical="center"/>
    </xf>
    <xf numFmtId="0" fontId="8" fillId="0" borderId="1" xfId="0" applyFont="1" applyBorder="1"/>
    <xf numFmtId="0" fontId="6" fillId="4" borderId="1" xfId="0" applyFont="1" applyFill="1" applyBorder="1"/>
    <xf numFmtId="43" fontId="6" fillId="4" borderId="3" xfId="1" applyFont="1" applyFill="1" applyBorder="1"/>
    <xf numFmtId="1" fontId="6" fillId="4" borderId="3" xfId="0" applyNumberFormat="1" applyFont="1" applyFill="1" applyBorder="1" applyAlignment="1">
      <alignment horizontal="center" vertical="center"/>
    </xf>
    <xf numFmtId="0" fontId="8" fillId="4" borderId="1" xfId="0" applyFont="1" applyFill="1" applyBorder="1"/>
    <xf numFmtId="43" fontId="8" fillId="4" borderId="3" xfId="1" applyFont="1" applyFill="1" applyBorder="1"/>
    <xf numFmtId="1" fontId="8" fillId="4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3" fontId="0" fillId="0" borderId="0" xfId="0" applyNumberFormat="1"/>
    <xf numFmtId="1" fontId="4" fillId="0" borderId="7" xfId="0" applyNumberFormat="1" applyFont="1" applyBorder="1" applyAlignment="1">
      <alignment wrapText="1"/>
    </xf>
    <xf numFmtId="1" fontId="4" fillId="0" borderId="8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43" fontId="0" fillId="0" borderId="0" xfId="1" applyFont="1" applyBorder="1"/>
    <xf numFmtId="0" fontId="4" fillId="0" borderId="0" xfId="0" applyFont="1" applyAlignment="1">
      <alignment vertical="center" wrapText="1"/>
    </xf>
    <xf numFmtId="0" fontId="4" fillId="5" borderId="0" xfId="0" applyFont="1" applyFill="1" applyAlignment="1">
      <alignment vertical="center" wrapText="1"/>
    </xf>
    <xf numFmtId="0" fontId="4" fillId="6" borderId="0" xfId="0" applyFont="1" applyFill="1" applyAlignment="1">
      <alignment horizontal="center" vertical="center" wrapText="1"/>
    </xf>
    <xf numFmtId="43" fontId="4" fillId="0" borderId="0" xfId="1" applyFont="1" applyBorder="1" applyAlignment="1">
      <alignment vertical="center" wrapText="1"/>
    </xf>
    <xf numFmtId="165" fontId="6" fillId="3" borderId="3" xfId="1" applyNumberFormat="1" applyFont="1" applyFill="1" applyBorder="1"/>
    <xf numFmtId="43" fontId="4" fillId="5" borderId="0" xfId="0" applyNumberFormat="1" applyFont="1" applyFill="1" applyAlignment="1">
      <alignment vertical="center" wrapText="1"/>
    </xf>
    <xf numFmtId="43" fontId="4" fillId="5" borderId="0" xfId="1" applyFont="1" applyFill="1" applyBorder="1" applyAlignment="1">
      <alignment vertical="center" wrapText="1"/>
    </xf>
    <xf numFmtId="43" fontId="0" fillId="5" borderId="0" xfId="1" applyFont="1" applyFill="1" applyBorder="1"/>
    <xf numFmtId="43" fontId="4" fillId="5" borderId="0" xfId="1" applyFont="1" applyFill="1" applyBorder="1" applyAlignment="1">
      <alignment horizontal="center" vertical="center" wrapText="1"/>
    </xf>
    <xf numFmtId="165" fontId="6" fillId="4" borderId="3" xfId="1" applyNumberFormat="1" applyFont="1" applyFill="1" applyBorder="1"/>
    <xf numFmtId="165" fontId="8" fillId="4" borderId="3" xfId="1" applyNumberFormat="1" applyFont="1" applyFill="1" applyBorder="1"/>
    <xf numFmtId="43" fontId="4" fillId="0" borderId="7" xfId="1" applyFont="1" applyBorder="1" applyAlignment="1">
      <alignment wrapText="1"/>
    </xf>
    <xf numFmtId="43" fontId="4" fillId="0" borderId="8" xfId="1" applyFont="1" applyBorder="1" applyAlignment="1">
      <alignment wrapText="1"/>
    </xf>
    <xf numFmtId="43" fontId="0" fillId="0" borderId="9" xfId="1" applyFont="1" applyBorder="1"/>
    <xf numFmtId="43" fontId="0" fillId="0" borderId="10" xfId="1" applyFont="1" applyBorder="1"/>
    <xf numFmtId="43" fontId="4" fillId="6" borderId="0" xfId="1" applyFont="1" applyFill="1" applyBorder="1" applyAlignment="1">
      <alignment vertical="center" wrapText="1"/>
    </xf>
    <xf numFmtId="43" fontId="4" fillId="0" borderId="0" xfId="1" applyFont="1" applyFill="1" applyBorder="1" applyAlignment="1">
      <alignment vertical="center" wrapText="1"/>
    </xf>
    <xf numFmtId="43" fontId="4" fillId="0" borderId="0" xfId="1" applyFont="1" applyFill="1" applyBorder="1" applyAlignment="1">
      <alignment horizontal="center" vertical="center" wrapText="1"/>
    </xf>
    <xf numFmtId="43" fontId="0" fillId="0" borderId="0" xfId="1" applyFont="1" applyFill="1" applyBorder="1"/>
    <xf numFmtId="1" fontId="4" fillId="0" borderId="13" xfId="0" applyNumberFormat="1" applyFont="1" applyBorder="1" applyAlignment="1">
      <alignment wrapText="1"/>
    </xf>
    <xf numFmtId="43" fontId="4" fillId="0" borderId="13" xfId="1" applyFont="1" applyBorder="1" applyAlignment="1">
      <alignment wrapText="1"/>
    </xf>
    <xf numFmtId="43" fontId="0" fillId="0" borderId="12" xfId="1" applyFont="1" applyBorder="1"/>
    <xf numFmtId="166" fontId="0" fillId="0" borderId="0" xfId="0" applyNumberFormat="1"/>
    <xf numFmtId="165" fontId="6" fillId="0" borderId="3" xfId="1" applyNumberFormat="1" applyFont="1" applyBorder="1"/>
    <xf numFmtId="43" fontId="6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3" fontId="8" fillId="0" borderId="3" xfId="0" applyNumberFormat="1" applyFont="1" applyBorder="1" applyAlignment="1">
      <alignment horizontal="center" vertical="center"/>
    </xf>
    <xf numFmtId="165" fontId="8" fillId="0" borderId="3" xfId="1" applyNumberFormat="1" applyFont="1" applyBorder="1"/>
    <xf numFmtId="0" fontId="2" fillId="0" borderId="15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0" fillId="0" borderId="13" xfId="0" applyBorder="1"/>
    <xf numFmtId="0" fontId="0" fillId="0" borderId="12" xfId="0" applyBorder="1"/>
    <xf numFmtId="0" fontId="3" fillId="0" borderId="15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horizontal="right" wrapText="1"/>
    </xf>
    <xf numFmtId="0" fontId="3" fillId="0" borderId="6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12" xfId="0" applyFont="1" applyBorder="1" applyAlignment="1">
      <alignment horizontal="right" wrapText="1"/>
    </xf>
    <xf numFmtId="43" fontId="0" fillId="0" borderId="0" xfId="1" applyFont="1"/>
    <xf numFmtId="43" fontId="12" fillId="0" borderId="0" xfId="0" applyNumberFormat="1" applyFont="1"/>
    <xf numFmtId="164" fontId="7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43" fontId="0" fillId="0" borderId="0" xfId="1" applyFont="1" applyAlignment="1">
      <alignment horizontal="right" vertical="center"/>
    </xf>
    <xf numFmtId="0" fontId="0" fillId="0" borderId="0" xfId="0" applyAlignment="1">
      <alignment horizontal="center" vertical="center"/>
    </xf>
    <xf numFmtId="9" fontId="0" fillId="0" borderId="0" xfId="2" applyFont="1"/>
    <xf numFmtId="167" fontId="0" fillId="0" borderId="0" xfId="2" applyNumberFormat="1" applyFont="1"/>
    <xf numFmtId="10" fontId="0" fillId="0" borderId="0" xfId="2" applyNumberFormat="1" applyFont="1"/>
    <xf numFmtId="0" fontId="8" fillId="0" borderId="0" xfId="0" applyFont="1"/>
    <xf numFmtId="0" fontId="8" fillId="0" borderId="16" xfId="0" applyFont="1" applyBorder="1"/>
    <xf numFmtId="0" fontId="8" fillId="0" borderId="17" xfId="0" applyFont="1" applyBorder="1" applyAlignment="1">
      <alignment horizontal="center" vertical="center"/>
    </xf>
    <xf numFmtId="43" fontId="8" fillId="0" borderId="17" xfId="1" applyFont="1" applyBorder="1"/>
    <xf numFmtId="43" fontId="6" fillId="0" borderId="17" xfId="1" applyFont="1" applyBorder="1"/>
    <xf numFmtId="0" fontId="0" fillId="0" borderId="3" xfId="0" applyBorder="1"/>
    <xf numFmtId="0" fontId="8" fillId="0" borderId="0" xfId="0" applyFont="1" applyAlignment="1">
      <alignment horizontal="right"/>
    </xf>
    <xf numFmtId="166" fontId="0" fillId="0" borderId="3" xfId="0" applyNumberFormat="1" applyBorder="1"/>
    <xf numFmtId="9" fontId="0" fillId="0" borderId="0" xfId="2" applyFont="1" applyAlignment="1">
      <alignment horizontal="right" vertic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2" fillId="0" borderId="0" xfId="0" applyFont="1"/>
    <xf numFmtId="9" fontId="8" fillId="0" borderId="3" xfId="1" applyNumberFormat="1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0" fillId="6" borderId="0" xfId="0" applyFill="1" applyAlignment="1">
      <alignment horizontal="center" vertical="center"/>
    </xf>
    <xf numFmtId="0" fontId="4" fillId="6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vertical="justify"/>
    </xf>
    <xf numFmtId="0" fontId="4" fillId="0" borderId="0" xfId="0" applyFont="1" applyAlignment="1">
      <alignment horizontal="center" vertical="center" wrapText="1"/>
    </xf>
    <xf numFmtId="43" fontId="4" fillId="0" borderId="0" xfId="1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3" fontId="6" fillId="0" borderId="0" xfId="1" applyFont="1" applyFill="1" applyBorder="1"/>
    <xf numFmtId="0" fontId="0" fillId="0" borderId="0" xfId="0" applyAlignment="1">
      <alignment vertical="center" wrapText="1"/>
    </xf>
    <xf numFmtId="1" fontId="6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1" fontId="15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Curva</a:t>
            </a:r>
            <a:r>
              <a:rPr lang="en-US" baseline="0"/>
              <a:t> de demanda tipo conglomerados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H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'Curva de demanda'!$F$3</c:f>
              <c:strCache>
                <c:ptCount val="1"/>
                <c:pt idx="0">
                  <c:v>Potencia kW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'Curva de demanda'!$E$4:$E$27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'Curva de demanda'!$F$4:$F$27</c:f>
              <c:numCache>
                <c:formatCode>General</c:formatCode>
                <c:ptCount val="24"/>
                <c:pt idx="0">
                  <c:v>0.13100000000000001</c:v>
                </c:pt>
                <c:pt idx="1">
                  <c:v>0.114</c:v>
                </c:pt>
                <c:pt idx="2">
                  <c:v>0.114</c:v>
                </c:pt>
                <c:pt idx="3">
                  <c:v>0.114</c:v>
                </c:pt>
                <c:pt idx="4">
                  <c:v>0.39200000000000002</c:v>
                </c:pt>
                <c:pt idx="5">
                  <c:v>0.6</c:v>
                </c:pt>
                <c:pt idx="6">
                  <c:v>0.66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0.59399999999999997</c:v>
                </c:pt>
                <c:pt idx="11">
                  <c:v>0.64</c:v>
                </c:pt>
                <c:pt idx="12">
                  <c:v>0.82899999999999996</c:v>
                </c:pt>
                <c:pt idx="13">
                  <c:v>0.623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0.79</c:v>
                </c:pt>
                <c:pt idx="18">
                  <c:v>1.4770000000000001</c:v>
                </c:pt>
                <c:pt idx="19">
                  <c:v>1.204</c:v>
                </c:pt>
                <c:pt idx="20">
                  <c:v>0.81100000000000005</c:v>
                </c:pt>
                <c:pt idx="21">
                  <c:v>0.57599999999999996</c:v>
                </c:pt>
                <c:pt idx="22">
                  <c:v>0.36</c:v>
                </c:pt>
                <c:pt idx="23">
                  <c:v>0.245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08F-479E-9E99-59D48C7E8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8170664"/>
        <c:axId val="408176896"/>
      </c:scatterChart>
      <c:valAx>
        <c:axId val="408170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HN"/>
                  <a:t>Horas al dia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HN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HN"/>
          </a:p>
        </c:txPr>
        <c:crossAx val="408176896"/>
        <c:crosses val="autoZero"/>
        <c:crossBetween val="midCat"/>
      </c:valAx>
      <c:valAx>
        <c:axId val="40817689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4081706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H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381000</xdr:colOff>
      <xdr:row>0</xdr:row>
      <xdr:rowOff>0</xdr:rowOff>
    </xdr:from>
    <xdr:to>
      <xdr:col>19</xdr:col>
      <xdr:colOff>397730</xdr:colOff>
      <xdr:row>7</xdr:row>
      <xdr:rowOff>71906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E79462A-87A6-4825-B798-2C37D72EE84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6151"/>
        <a:stretch/>
      </xdr:blipFill>
      <xdr:spPr>
        <a:xfrm>
          <a:off x="15716250" y="0"/>
          <a:ext cx="6112730" cy="13292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5</xdr:row>
      <xdr:rowOff>152400</xdr:rowOff>
    </xdr:from>
    <xdr:to>
      <xdr:col>13</xdr:col>
      <xdr:colOff>66675</xdr:colOff>
      <xdr:row>22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24FCC4B-C0C7-EDD6-5571-06EF64F1DD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8"/>
  <sheetViews>
    <sheetView zoomScale="85" zoomScaleNormal="85" workbookViewId="0">
      <pane xSplit="1" ySplit="1" topLeftCell="C2" activePane="bottomRight" state="frozen"/>
      <selection pane="topRight" activeCell="B1" sqref="B1"/>
      <selection pane="bottomLeft" activeCell="A2" sqref="A2"/>
      <selection pane="bottomRight" activeCell="F8" sqref="F8"/>
    </sheetView>
  </sheetViews>
  <sheetFormatPr baseColWidth="10" defaultColWidth="9.140625" defaultRowHeight="12.75" x14ac:dyDescent="0.2"/>
  <cols>
    <col min="1" max="1" width="34.5703125" customWidth="1"/>
    <col min="2" max="2" width="22.42578125" customWidth="1"/>
    <col min="3" max="3" width="24" customWidth="1"/>
    <col min="4" max="4" width="25.42578125" customWidth="1"/>
    <col min="5" max="5" width="25.140625" customWidth="1"/>
    <col min="6" max="6" width="28.140625" customWidth="1"/>
    <col min="7" max="7" width="27.42578125" customWidth="1"/>
    <col min="8" max="8" width="18.140625" customWidth="1"/>
    <col min="9" max="9" width="17.140625" customWidth="1"/>
  </cols>
  <sheetData>
    <row r="1" spans="1:26" ht="13.5" thickBot="1" x14ac:dyDescent="0.25">
      <c r="B1" s="98" t="s">
        <v>61</v>
      </c>
      <c r="C1" s="98"/>
      <c r="D1" s="98"/>
      <c r="E1" s="98"/>
      <c r="F1" s="98"/>
      <c r="G1" s="98"/>
      <c r="H1" s="98" t="s">
        <v>62</v>
      </c>
      <c r="I1" s="98"/>
    </row>
    <row r="2" spans="1:26" ht="15" x14ac:dyDescent="0.25">
      <c r="A2" s="59" t="s">
        <v>65</v>
      </c>
      <c r="B2" s="59" t="s">
        <v>22</v>
      </c>
      <c r="C2" s="59" t="s">
        <v>22</v>
      </c>
      <c r="D2" s="59" t="s">
        <v>22</v>
      </c>
      <c r="E2" s="59" t="s">
        <v>22</v>
      </c>
      <c r="F2" s="59" t="s">
        <v>22</v>
      </c>
      <c r="G2" s="59" t="s">
        <v>22</v>
      </c>
      <c r="H2" s="59" t="s">
        <v>22</v>
      </c>
      <c r="I2" s="59" t="s">
        <v>22</v>
      </c>
    </row>
    <row r="3" spans="1:26" ht="15" customHeight="1" x14ac:dyDescent="0.25">
      <c r="A3" s="60" t="s">
        <v>54</v>
      </c>
      <c r="B3" s="60" t="s">
        <v>56</v>
      </c>
      <c r="C3" s="60" t="s">
        <v>57</v>
      </c>
      <c r="D3" s="60" t="s">
        <v>58</v>
      </c>
      <c r="E3" s="60" t="s">
        <v>59</v>
      </c>
      <c r="F3" s="60" t="s">
        <v>193</v>
      </c>
      <c r="G3" s="60" t="s">
        <v>60</v>
      </c>
      <c r="H3" s="60" t="s">
        <v>55</v>
      </c>
      <c r="I3" s="60" t="s">
        <v>64</v>
      </c>
    </row>
    <row r="4" spans="1:26" ht="16.5" customHeight="1" x14ac:dyDescent="0.25">
      <c r="A4" s="61" t="s">
        <v>23</v>
      </c>
      <c r="B4" s="61">
        <v>119</v>
      </c>
      <c r="C4" s="61">
        <v>226</v>
      </c>
      <c r="D4" s="61">
        <v>400</v>
      </c>
      <c r="E4" s="61">
        <v>540</v>
      </c>
      <c r="F4" s="61">
        <v>700</v>
      </c>
      <c r="G4" s="61">
        <v>800</v>
      </c>
      <c r="H4" s="61">
        <f>1297</f>
        <v>1297</v>
      </c>
      <c r="I4" s="61">
        <f>2267.8</f>
        <v>2267.8000000000002</v>
      </c>
    </row>
    <row r="5" spans="1:26" x14ac:dyDescent="0.2">
      <c r="A5" s="62" t="s">
        <v>63</v>
      </c>
      <c r="B5" s="62">
        <f>130/24.65</f>
        <v>5.2738336713995944</v>
      </c>
      <c r="C5" s="62">
        <f>130/24.65</f>
        <v>5.2738336713995944</v>
      </c>
      <c r="D5" s="62">
        <f>305/24.65</f>
        <v>12.373225152129818</v>
      </c>
      <c r="E5" s="62">
        <f>305/24.65</f>
        <v>12.373225152129818</v>
      </c>
      <c r="F5" s="62">
        <f t="shared" ref="F5" si="0">450/24.65</f>
        <v>18.255578093306291</v>
      </c>
      <c r="G5" s="62">
        <f>450/24.65</f>
        <v>18.255578093306291</v>
      </c>
      <c r="H5" s="62">
        <f>900/24.65</f>
        <v>36.511156186612581</v>
      </c>
      <c r="I5" s="62">
        <f>1300/24.65</f>
        <v>52.738336713995949</v>
      </c>
    </row>
    <row r="6" spans="1:26" ht="13.5" thickBot="1" x14ac:dyDescent="0.25">
      <c r="A6" s="63" t="s">
        <v>43</v>
      </c>
      <c r="B6" s="63">
        <f>SUM(B4:B5)</f>
        <v>124.2738336713996</v>
      </c>
      <c r="C6" s="63">
        <f t="shared" ref="C6:G6" si="1">SUM(C4:C5)</f>
        <v>231.27383367139959</v>
      </c>
      <c r="D6" s="63">
        <f t="shared" si="1"/>
        <v>412.37322515212981</v>
      </c>
      <c r="E6" s="63">
        <f t="shared" si="1"/>
        <v>552.37322515212986</v>
      </c>
      <c r="F6" s="63">
        <f t="shared" si="1"/>
        <v>718.25557809330633</v>
      </c>
      <c r="G6" s="63">
        <f t="shared" si="1"/>
        <v>818.25557809330633</v>
      </c>
      <c r="H6" s="63">
        <f>SUM(H4:H5)</f>
        <v>1333.5111561866127</v>
      </c>
      <c r="I6" s="63">
        <f>SUM(I4:I5)*1.15</f>
        <v>2668.6190872210955</v>
      </c>
    </row>
    <row r="7" spans="1:26" x14ac:dyDescent="0.2">
      <c r="B7" s="26">
        <f t="shared" ref="B7:G7" si="2">B6*1000/5800</f>
        <v>21.426523046793033</v>
      </c>
      <c r="C7" s="26">
        <f t="shared" si="2"/>
        <v>39.874798908861997</v>
      </c>
      <c r="D7" s="26">
        <f t="shared" si="2"/>
        <v>71.098831922781002</v>
      </c>
      <c r="E7" s="26">
        <f t="shared" si="2"/>
        <v>95.236762957263778</v>
      </c>
      <c r="F7" s="26">
        <f t="shared" si="2"/>
        <v>123.83716863677695</v>
      </c>
      <c r="G7" s="26">
        <f t="shared" si="2"/>
        <v>141.07854794712176</v>
      </c>
      <c r="H7" s="26">
        <f>H6*1000/5800</f>
        <v>229.91571658389873</v>
      </c>
      <c r="I7" s="26">
        <f>I6*1000/11500</f>
        <v>232.05383367139959</v>
      </c>
    </row>
    <row r="8" spans="1:26" ht="13.5" thickBot="1" x14ac:dyDescent="0.25">
      <c r="B8" t="s">
        <v>66</v>
      </c>
    </row>
    <row r="9" spans="1:26" ht="30.75" thickBot="1" x14ac:dyDescent="0.3">
      <c r="A9" s="67" t="s">
        <v>0</v>
      </c>
      <c r="B9" s="68" t="s">
        <v>24</v>
      </c>
      <c r="C9" s="69" t="s">
        <v>24</v>
      </c>
      <c r="D9" s="68" t="s">
        <v>25</v>
      </c>
      <c r="E9" s="69" t="s">
        <v>25</v>
      </c>
      <c r="F9" s="68" t="s">
        <v>26</v>
      </c>
      <c r="G9" s="69" t="s">
        <v>26</v>
      </c>
      <c r="H9" s="68" t="s">
        <v>27</v>
      </c>
      <c r="I9" s="69" t="s">
        <v>27</v>
      </c>
      <c r="J9" s="68" t="s">
        <v>28</v>
      </c>
      <c r="K9" s="69" t="s">
        <v>28</v>
      </c>
      <c r="L9" s="68" t="s">
        <v>29</v>
      </c>
      <c r="M9" s="69" t="s">
        <v>29</v>
      </c>
      <c r="N9" s="68" t="s">
        <v>34</v>
      </c>
      <c r="O9" s="69" t="s">
        <v>34</v>
      </c>
      <c r="P9" s="68" t="s">
        <v>35</v>
      </c>
      <c r="Q9" s="69" t="s">
        <v>35</v>
      </c>
      <c r="R9" s="68" t="s">
        <v>36</v>
      </c>
      <c r="S9" s="69" t="s">
        <v>36</v>
      </c>
      <c r="T9" s="68" t="s">
        <v>37</v>
      </c>
      <c r="U9" s="69" t="s">
        <v>37</v>
      </c>
      <c r="V9" s="68" t="s">
        <v>38</v>
      </c>
      <c r="W9" s="69" t="s">
        <v>38</v>
      </c>
      <c r="X9" s="70">
        <v>8000</v>
      </c>
      <c r="Y9" s="68" t="s">
        <v>116</v>
      </c>
      <c r="Z9" s="70" t="s">
        <v>115</v>
      </c>
    </row>
    <row r="10" spans="1:26" ht="15" x14ac:dyDescent="0.25">
      <c r="A10" s="61" t="s">
        <v>30</v>
      </c>
      <c r="B10" s="27">
        <v>12</v>
      </c>
      <c r="C10" s="28">
        <v>24</v>
      </c>
      <c r="D10" s="27">
        <v>12</v>
      </c>
      <c r="E10" s="28">
        <v>24</v>
      </c>
      <c r="F10" s="27">
        <v>12</v>
      </c>
      <c r="G10" s="28">
        <v>24</v>
      </c>
      <c r="H10" s="27">
        <v>12</v>
      </c>
      <c r="I10" s="28">
        <v>24</v>
      </c>
      <c r="J10" s="27">
        <v>12</v>
      </c>
      <c r="K10" s="28">
        <v>24</v>
      </c>
      <c r="L10" s="27">
        <v>12</v>
      </c>
      <c r="M10" s="28">
        <v>24</v>
      </c>
      <c r="N10" s="27">
        <v>12</v>
      </c>
      <c r="O10" s="28">
        <v>24</v>
      </c>
      <c r="P10" s="27">
        <v>12</v>
      </c>
      <c r="Q10" s="28">
        <v>24</v>
      </c>
      <c r="R10" s="27">
        <v>12</v>
      </c>
      <c r="S10" s="28">
        <v>24</v>
      </c>
      <c r="T10" s="27">
        <v>12</v>
      </c>
      <c r="U10" s="28">
        <v>24</v>
      </c>
      <c r="V10" s="27">
        <v>12</v>
      </c>
      <c r="W10" s="28">
        <v>24</v>
      </c>
      <c r="X10" s="50" t="s">
        <v>117</v>
      </c>
      <c r="Y10" s="27" t="s">
        <v>117</v>
      </c>
      <c r="Z10" s="50" t="s">
        <v>117</v>
      </c>
    </row>
    <row r="11" spans="1:26" ht="15" x14ac:dyDescent="0.25">
      <c r="A11" s="61" t="s">
        <v>31</v>
      </c>
      <c r="B11" s="27">
        <v>220</v>
      </c>
      <c r="C11" s="28">
        <v>220</v>
      </c>
      <c r="D11" s="27">
        <v>220</v>
      </c>
      <c r="E11" s="28">
        <v>220</v>
      </c>
      <c r="F11" s="27">
        <v>220</v>
      </c>
      <c r="G11" s="28">
        <v>220</v>
      </c>
      <c r="H11" s="27">
        <v>220</v>
      </c>
      <c r="I11" s="28">
        <v>220</v>
      </c>
      <c r="J11" s="27">
        <v>220</v>
      </c>
      <c r="K11" s="28">
        <v>220</v>
      </c>
      <c r="L11" s="27">
        <v>220</v>
      </c>
      <c r="M11" s="28">
        <v>220</v>
      </c>
      <c r="N11" s="27">
        <v>220</v>
      </c>
      <c r="O11" s="28">
        <v>220</v>
      </c>
      <c r="P11" s="27">
        <v>220</v>
      </c>
      <c r="Q11" s="28">
        <v>220</v>
      </c>
      <c r="R11" s="27">
        <v>220</v>
      </c>
      <c r="S11" s="28">
        <v>220</v>
      </c>
      <c r="T11" s="27">
        <v>220</v>
      </c>
      <c r="U11" s="28">
        <v>220</v>
      </c>
      <c r="V11" s="27">
        <v>220</v>
      </c>
      <c r="W11" s="28">
        <v>220</v>
      </c>
      <c r="X11" s="50">
        <v>220</v>
      </c>
      <c r="Y11" s="27">
        <v>220</v>
      </c>
      <c r="Z11" s="50">
        <v>220</v>
      </c>
    </row>
    <row r="12" spans="1:26" ht="15" x14ac:dyDescent="0.25">
      <c r="A12" s="61" t="s">
        <v>32</v>
      </c>
      <c r="B12" s="27">
        <v>1000</v>
      </c>
      <c r="C12" s="28">
        <v>1000</v>
      </c>
      <c r="D12" s="27">
        <v>1500</v>
      </c>
      <c r="E12" s="28">
        <v>1500</v>
      </c>
      <c r="F12" s="27">
        <v>1700</v>
      </c>
      <c r="G12" s="28">
        <v>1700</v>
      </c>
      <c r="H12" s="27">
        <v>2000</v>
      </c>
      <c r="I12" s="28">
        <v>2000</v>
      </c>
      <c r="J12" s="27">
        <v>2500</v>
      </c>
      <c r="K12" s="28">
        <v>2500</v>
      </c>
      <c r="L12" s="27">
        <v>3000</v>
      </c>
      <c r="M12" s="28">
        <v>3000</v>
      </c>
      <c r="N12" s="27">
        <v>3500</v>
      </c>
      <c r="O12" s="28">
        <v>3500</v>
      </c>
      <c r="P12" s="27">
        <v>4000</v>
      </c>
      <c r="Q12" s="28">
        <v>4000</v>
      </c>
      <c r="R12" s="27">
        <v>5000</v>
      </c>
      <c r="S12" s="28">
        <v>5000</v>
      </c>
      <c r="T12" s="27">
        <v>6000</v>
      </c>
      <c r="U12" s="28">
        <v>6000</v>
      </c>
      <c r="V12" s="27">
        <v>7000</v>
      </c>
      <c r="W12" s="28">
        <v>7000</v>
      </c>
      <c r="X12" s="50">
        <v>8000</v>
      </c>
      <c r="Y12" s="27">
        <v>10000</v>
      </c>
      <c r="Z12" s="50">
        <v>12000</v>
      </c>
    </row>
    <row r="13" spans="1:26" ht="15" x14ac:dyDescent="0.25">
      <c r="A13" s="61" t="s">
        <v>33</v>
      </c>
      <c r="B13" s="42">
        <v>203</v>
      </c>
      <c r="C13" s="43">
        <v>226</v>
      </c>
      <c r="D13" s="42">
        <v>245</v>
      </c>
      <c r="E13" s="43">
        <v>282</v>
      </c>
      <c r="F13" s="42">
        <v>289</v>
      </c>
      <c r="G13" s="43">
        <v>331</v>
      </c>
      <c r="H13" s="42">
        <v>312</v>
      </c>
      <c r="I13" s="43">
        <v>354</v>
      </c>
      <c r="J13" s="42">
        <v>324</v>
      </c>
      <c r="K13" s="43">
        <v>365</v>
      </c>
      <c r="L13" s="42">
        <v>349</v>
      </c>
      <c r="M13" s="43">
        <v>392</v>
      </c>
      <c r="N13" s="42">
        <v>407</v>
      </c>
      <c r="O13" s="43">
        <v>433</v>
      </c>
      <c r="P13" s="42">
        <v>492</v>
      </c>
      <c r="Q13" s="43">
        <v>536</v>
      </c>
      <c r="R13" s="42">
        <v>551</v>
      </c>
      <c r="S13" s="43">
        <v>582</v>
      </c>
      <c r="T13" s="42">
        <v>769</v>
      </c>
      <c r="U13" s="43">
        <v>792</v>
      </c>
      <c r="V13" s="42">
        <v>995</v>
      </c>
      <c r="W13" s="43">
        <v>1078</v>
      </c>
      <c r="X13" s="51">
        <v>3419</v>
      </c>
      <c r="Y13" s="42">
        <v>3564</v>
      </c>
      <c r="Z13" s="51">
        <v>4071</v>
      </c>
    </row>
    <row r="14" spans="1:26" ht="15.75" thickBot="1" x14ac:dyDescent="0.3">
      <c r="A14" s="65" t="s">
        <v>67</v>
      </c>
      <c r="B14" s="44">
        <f>B13*1000/B12</f>
        <v>203</v>
      </c>
      <c r="C14" s="45">
        <f t="shared" ref="C14:V14" si="3">C13*1000/C12</f>
        <v>226</v>
      </c>
      <c r="D14" s="44">
        <f t="shared" si="3"/>
        <v>163.33333333333334</v>
      </c>
      <c r="E14" s="45">
        <f t="shared" si="3"/>
        <v>188</v>
      </c>
      <c r="F14" s="44">
        <f t="shared" si="3"/>
        <v>170</v>
      </c>
      <c r="G14" s="45">
        <f t="shared" si="3"/>
        <v>194.70588235294119</v>
      </c>
      <c r="H14" s="44">
        <f t="shared" si="3"/>
        <v>156</v>
      </c>
      <c r="I14" s="45">
        <f t="shared" si="3"/>
        <v>177</v>
      </c>
      <c r="J14" s="44">
        <f t="shared" si="3"/>
        <v>129.6</v>
      </c>
      <c r="K14" s="45">
        <f t="shared" si="3"/>
        <v>146</v>
      </c>
      <c r="L14" s="44">
        <f t="shared" si="3"/>
        <v>116.33333333333333</v>
      </c>
      <c r="M14" s="45">
        <f t="shared" si="3"/>
        <v>130.66666666666666</v>
      </c>
      <c r="N14" s="44">
        <f t="shared" si="3"/>
        <v>116.28571428571429</v>
      </c>
      <c r="O14" s="45">
        <f t="shared" si="3"/>
        <v>123.71428571428571</v>
      </c>
      <c r="P14" s="44">
        <f t="shared" si="3"/>
        <v>123</v>
      </c>
      <c r="Q14" s="45">
        <f t="shared" si="3"/>
        <v>134</v>
      </c>
      <c r="R14" s="44">
        <f t="shared" si="3"/>
        <v>110.2</v>
      </c>
      <c r="S14" s="45">
        <f t="shared" si="3"/>
        <v>116.4</v>
      </c>
      <c r="T14" s="44">
        <f t="shared" si="3"/>
        <v>128.16666666666666</v>
      </c>
      <c r="U14" s="45">
        <f t="shared" si="3"/>
        <v>132</v>
      </c>
      <c r="V14" s="44">
        <f t="shared" si="3"/>
        <v>142.14285714285714</v>
      </c>
      <c r="W14" s="45">
        <f>W13*1000/W12</f>
        <v>154</v>
      </c>
      <c r="X14" s="52">
        <f t="shared" ref="X14:Z14" si="4">X13*1000/X12</f>
        <v>427.375</v>
      </c>
      <c r="Y14" s="44">
        <f t="shared" si="4"/>
        <v>356.4</v>
      </c>
      <c r="Z14" s="52">
        <f t="shared" si="4"/>
        <v>339.25</v>
      </c>
    </row>
    <row r="15" spans="1:26" ht="15" x14ac:dyDescent="0.25">
      <c r="A15" s="29"/>
      <c r="B15" s="30"/>
      <c r="C15" s="30"/>
      <c r="D15" s="30"/>
      <c r="E15" s="30"/>
      <c r="F15" s="30"/>
      <c r="G15" s="30"/>
      <c r="W15" s="26">
        <f>W13*7%</f>
        <v>75.460000000000008</v>
      </c>
      <c r="Z15" s="26">
        <f>Z13*7%</f>
        <v>284.97000000000003</v>
      </c>
    </row>
    <row r="16" spans="1:26" ht="15" x14ac:dyDescent="0.25">
      <c r="A16" s="29"/>
      <c r="B16" s="30"/>
      <c r="C16" s="30"/>
      <c r="D16" s="30"/>
      <c r="E16" s="30"/>
      <c r="F16" s="30"/>
      <c r="G16" s="30"/>
      <c r="W16" s="26">
        <f>W13*1%</f>
        <v>10.78</v>
      </c>
      <c r="Z16">
        <f>Z13*1%</f>
        <v>40.71</v>
      </c>
    </row>
    <row r="17" spans="1:7" ht="15" x14ac:dyDescent="0.25">
      <c r="A17" s="29"/>
      <c r="B17" s="30"/>
      <c r="C17" s="30"/>
      <c r="D17" s="30"/>
      <c r="E17" s="30"/>
      <c r="F17" s="30"/>
      <c r="G17" s="30"/>
    </row>
    <row r="19" spans="1:7" ht="15.75" thickBot="1" x14ac:dyDescent="0.3">
      <c r="A19" s="99" t="s">
        <v>129</v>
      </c>
      <c r="B19" s="99"/>
      <c r="C19" s="99"/>
      <c r="D19" s="99"/>
      <c r="E19" s="99"/>
      <c r="F19" s="99"/>
      <c r="G19" s="99"/>
    </row>
    <row r="20" spans="1:7" ht="30" x14ac:dyDescent="0.25">
      <c r="A20" s="64" t="s">
        <v>0</v>
      </c>
      <c r="B20" s="64" t="s">
        <v>1</v>
      </c>
      <c r="C20" s="64" t="s">
        <v>2</v>
      </c>
      <c r="D20" s="64" t="s">
        <v>3</v>
      </c>
      <c r="E20" s="64" t="s">
        <v>4</v>
      </c>
      <c r="F20" s="64" t="s">
        <v>5</v>
      </c>
      <c r="G20" s="64" t="s">
        <v>6</v>
      </c>
    </row>
    <row r="21" spans="1:7" ht="15" x14ac:dyDescent="0.25">
      <c r="A21" s="61" t="s">
        <v>7</v>
      </c>
      <c r="B21" s="61">
        <v>12</v>
      </c>
      <c r="C21" s="61">
        <v>24</v>
      </c>
      <c r="D21" s="61">
        <v>12</v>
      </c>
      <c r="E21" s="61">
        <v>24</v>
      </c>
      <c r="F21" s="61">
        <v>12</v>
      </c>
      <c r="G21" s="61">
        <v>24</v>
      </c>
    </row>
    <row r="22" spans="1:7" ht="15" x14ac:dyDescent="0.25">
      <c r="A22" s="61" t="s">
        <v>8</v>
      </c>
      <c r="B22" s="61">
        <v>200</v>
      </c>
      <c r="C22" s="61">
        <v>200</v>
      </c>
      <c r="D22" s="61">
        <v>200</v>
      </c>
      <c r="E22" s="61">
        <v>200</v>
      </c>
      <c r="F22" s="61">
        <v>200</v>
      </c>
      <c r="G22" s="61">
        <v>200</v>
      </c>
    </row>
    <row r="23" spans="1:7" ht="15" x14ac:dyDescent="0.25">
      <c r="A23" s="61" t="s">
        <v>9</v>
      </c>
      <c r="B23" s="66" t="s">
        <v>10</v>
      </c>
      <c r="C23" s="66" t="s">
        <v>11</v>
      </c>
      <c r="D23" s="66" t="s">
        <v>12</v>
      </c>
      <c r="E23" s="66" t="s">
        <v>13</v>
      </c>
      <c r="F23" s="66" t="s">
        <v>14</v>
      </c>
      <c r="G23" s="61">
        <v>3</v>
      </c>
    </row>
    <row r="24" spans="1:7" ht="15" x14ac:dyDescent="0.25">
      <c r="A24" s="61" t="s">
        <v>15</v>
      </c>
      <c r="B24" s="61">
        <v>78</v>
      </c>
      <c r="C24" s="61">
        <v>78</v>
      </c>
      <c r="D24" s="61">
        <v>82</v>
      </c>
      <c r="E24" s="61">
        <v>82</v>
      </c>
      <c r="F24" s="61">
        <v>87</v>
      </c>
      <c r="G24" s="61">
        <v>87</v>
      </c>
    </row>
    <row r="25" spans="1:7" ht="15" x14ac:dyDescent="0.25">
      <c r="A25" s="61" t="s">
        <v>16</v>
      </c>
      <c r="B25" s="61">
        <v>5</v>
      </c>
      <c r="C25" s="61">
        <v>5</v>
      </c>
      <c r="D25" s="61">
        <v>7</v>
      </c>
      <c r="E25" s="61">
        <v>7</v>
      </c>
      <c r="F25" s="61">
        <v>10</v>
      </c>
      <c r="G25" s="61">
        <v>10</v>
      </c>
    </row>
    <row r="26" spans="1:7" ht="15" x14ac:dyDescent="0.25">
      <c r="A26" s="61" t="s">
        <v>17</v>
      </c>
      <c r="B26" s="61">
        <v>12</v>
      </c>
      <c r="C26" s="61">
        <v>12</v>
      </c>
      <c r="D26" s="61">
        <v>0</v>
      </c>
      <c r="E26" s="61">
        <v>0</v>
      </c>
      <c r="F26" s="61">
        <v>0</v>
      </c>
      <c r="G26" s="61">
        <v>0</v>
      </c>
    </row>
    <row r="27" spans="1:7" ht="15" x14ac:dyDescent="0.25">
      <c r="A27" s="61" t="s">
        <v>18</v>
      </c>
      <c r="B27" s="61">
        <v>78</v>
      </c>
      <c r="C27" s="61">
        <v>78</v>
      </c>
      <c r="D27" s="61">
        <v>84</v>
      </c>
      <c r="E27" s="61">
        <v>84</v>
      </c>
      <c r="F27" s="61">
        <v>90</v>
      </c>
      <c r="G27" s="61">
        <v>90</v>
      </c>
    </row>
    <row r="28" spans="1:7" ht="15.75" thickBot="1" x14ac:dyDescent="0.3">
      <c r="A28" s="65" t="s">
        <v>19</v>
      </c>
      <c r="B28" s="65">
        <v>2</v>
      </c>
      <c r="C28" s="65">
        <v>2</v>
      </c>
      <c r="D28" s="71" t="s">
        <v>20</v>
      </c>
      <c r="E28" s="71" t="s">
        <v>21</v>
      </c>
      <c r="F28" s="65">
        <v>1</v>
      </c>
      <c r="G28" s="65">
        <v>1</v>
      </c>
    </row>
  </sheetData>
  <mergeCells count="3">
    <mergeCell ref="H1:I1"/>
    <mergeCell ref="B1:G1"/>
    <mergeCell ref="A19:G19"/>
  </mergeCells>
  <phoneticPr fontId="11" type="noConversion"/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35"/>
  <sheetViews>
    <sheetView workbookViewId="0">
      <selection activeCell="D33" sqref="D33"/>
    </sheetView>
  </sheetViews>
  <sheetFormatPr baseColWidth="10" defaultColWidth="9.140625" defaultRowHeight="12.75" x14ac:dyDescent="0.2"/>
  <cols>
    <col min="2" max="2" width="56.140625" customWidth="1"/>
    <col min="3" max="4" width="22.42578125" customWidth="1"/>
    <col min="5" max="5" width="19.140625" customWidth="1"/>
    <col min="6" max="6" width="18.42578125" customWidth="1"/>
    <col min="7" max="7" width="16.5703125" customWidth="1"/>
  </cols>
  <sheetData>
    <row r="1" spans="2:7" ht="15" customHeight="1" x14ac:dyDescent="0.2">
      <c r="B1" s="102" t="s">
        <v>65</v>
      </c>
      <c r="C1" s="102" t="s">
        <v>68</v>
      </c>
      <c r="D1" s="103" t="s">
        <v>127</v>
      </c>
      <c r="E1" s="101" t="s">
        <v>107</v>
      </c>
      <c r="F1" s="101"/>
      <c r="G1" s="101"/>
    </row>
    <row r="2" spans="2:7" ht="14.25" customHeight="1" x14ac:dyDescent="0.2">
      <c r="B2" s="102"/>
      <c r="C2" s="102"/>
      <c r="D2" s="103"/>
      <c r="E2" s="33" t="s">
        <v>98</v>
      </c>
      <c r="F2" s="33" t="s">
        <v>99</v>
      </c>
      <c r="G2" s="33" t="s">
        <v>100</v>
      </c>
    </row>
    <row r="3" spans="2:7" ht="12.75" customHeight="1" x14ac:dyDescent="0.2">
      <c r="B3" s="104" t="s">
        <v>69</v>
      </c>
      <c r="C3" s="104"/>
      <c r="D3" s="104"/>
      <c r="E3" s="104"/>
      <c r="F3" s="104"/>
      <c r="G3" s="104"/>
    </row>
    <row r="4" spans="2:7" ht="14.25" customHeight="1" x14ac:dyDescent="0.2">
      <c r="B4" s="32" t="s">
        <v>102</v>
      </c>
      <c r="C4" s="32" t="s">
        <v>70</v>
      </c>
      <c r="D4" s="36">
        <f>SUM(D5:D8)</f>
        <v>1245</v>
      </c>
      <c r="E4" s="39" t="s">
        <v>71</v>
      </c>
      <c r="F4" s="46">
        <v>1485</v>
      </c>
      <c r="G4" s="38">
        <f>F4*'Con valor Unitario'!B$4</f>
        <v>36753.75</v>
      </c>
    </row>
    <row r="5" spans="2:7" ht="14.25" customHeight="1" x14ac:dyDescent="0.2">
      <c r="B5" s="31" t="s">
        <v>103</v>
      </c>
      <c r="C5" s="31" t="s">
        <v>70</v>
      </c>
      <c r="D5" s="34">
        <v>467</v>
      </c>
      <c r="E5" s="31"/>
      <c r="F5" s="31"/>
    </row>
    <row r="6" spans="2:7" ht="14.25" customHeight="1" x14ac:dyDescent="0.2">
      <c r="B6" s="31" t="s">
        <v>105</v>
      </c>
      <c r="C6" s="31" t="s">
        <v>106</v>
      </c>
      <c r="D6" s="34">
        <v>450</v>
      </c>
      <c r="E6" s="31"/>
      <c r="F6" s="31"/>
    </row>
    <row r="7" spans="2:7" ht="14.25" customHeight="1" x14ac:dyDescent="0.2">
      <c r="B7" s="31" t="s">
        <v>72</v>
      </c>
      <c r="C7" s="31" t="s">
        <v>70</v>
      </c>
      <c r="D7" s="34">
        <v>230</v>
      </c>
      <c r="E7" s="31"/>
      <c r="F7" s="31"/>
    </row>
    <row r="8" spans="2:7" ht="28.5" customHeight="1" x14ac:dyDescent="0.2">
      <c r="B8" s="31" t="s">
        <v>108</v>
      </c>
      <c r="C8" s="31" t="s">
        <v>113</v>
      </c>
      <c r="D8" s="34">
        <v>98</v>
      </c>
      <c r="E8" s="31"/>
      <c r="F8" s="31"/>
    </row>
    <row r="9" spans="2:7" ht="14.25" customHeight="1" x14ac:dyDescent="0.2">
      <c r="B9" s="37" t="s">
        <v>73</v>
      </c>
      <c r="C9" s="37" t="s">
        <v>74</v>
      </c>
      <c r="D9" s="46">
        <f>SUM(D10:D13)</f>
        <v>350.24</v>
      </c>
      <c r="E9" s="37"/>
      <c r="F9" s="37">
        <v>220</v>
      </c>
      <c r="G9" s="38">
        <f>F9*'Con valor Unitario'!B$4</f>
        <v>5445</v>
      </c>
    </row>
    <row r="10" spans="2:7" ht="14.25" customHeight="1" x14ac:dyDescent="0.2">
      <c r="B10" s="34" t="s">
        <v>110</v>
      </c>
      <c r="C10" s="34" t="s">
        <v>74</v>
      </c>
      <c r="D10" s="34">
        <v>324</v>
      </c>
      <c r="E10" s="34"/>
      <c r="F10" s="34"/>
      <c r="G10" s="30"/>
    </row>
    <row r="11" spans="2:7" ht="14.25" customHeight="1" x14ac:dyDescent="0.2">
      <c r="B11" s="34" t="s">
        <v>109</v>
      </c>
      <c r="C11" s="34" t="s">
        <v>42</v>
      </c>
      <c r="D11" s="34"/>
      <c r="E11" s="34"/>
      <c r="F11" s="34"/>
      <c r="G11" s="30"/>
    </row>
    <row r="12" spans="2:7" ht="31.5" customHeight="1" x14ac:dyDescent="0.2">
      <c r="B12" s="34" t="s">
        <v>76</v>
      </c>
      <c r="C12" s="34" t="s">
        <v>119</v>
      </c>
      <c r="D12" s="34">
        <v>23</v>
      </c>
      <c r="E12" s="34"/>
      <c r="F12" s="34"/>
      <c r="G12" s="30"/>
    </row>
    <row r="13" spans="2:7" ht="32.25" customHeight="1" x14ac:dyDescent="0.2">
      <c r="B13" s="34" t="s">
        <v>108</v>
      </c>
      <c r="C13" s="34" t="s">
        <v>118</v>
      </c>
      <c r="D13" s="34">
        <v>3.24</v>
      </c>
      <c r="E13" s="34"/>
      <c r="F13" s="34"/>
      <c r="G13" s="30"/>
    </row>
    <row r="14" spans="2:7" ht="14.25" customHeight="1" x14ac:dyDescent="0.2">
      <c r="B14" s="37" t="s">
        <v>77</v>
      </c>
      <c r="C14" s="37" t="s">
        <v>78</v>
      </c>
      <c r="D14" s="37">
        <f>SUM(D15:D19)</f>
        <v>627.39</v>
      </c>
      <c r="E14" s="39" t="s">
        <v>79</v>
      </c>
      <c r="F14" s="46">
        <v>844</v>
      </c>
      <c r="G14" s="38">
        <f>F14*'Con valor Unitario'!B$4</f>
        <v>20889</v>
      </c>
    </row>
    <row r="15" spans="2:7" ht="14.25" customHeight="1" x14ac:dyDescent="0.2">
      <c r="B15" s="34" t="s">
        <v>80</v>
      </c>
      <c r="C15" s="34" t="s">
        <v>78</v>
      </c>
      <c r="D15" s="34">
        <v>339</v>
      </c>
      <c r="E15" s="34"/>
      <c r="F15" s="34"/>
      <c r="G15" s="30"/>
    </row>
    <row r="16" spans="2:7" ht="14.25" customHeight="1" x14ac:dyDescent="0.2">
      <c r="B16" s="34" t="s">
        <v>82</v>
      </c>
      <c r="C16" s="34" t="s">
        <v>75</v>
      </c>
      <c r="D16" s="34"/>
      <c r="E16" s="34"/>
      <c r="F16" s="34"/>
      <c r="G16" s="30"/>
    </row>
    <row r="17" spans="2:7" ht="14.25" customHeight="1" x14ac:dyDescent="0.2">
      <c r="B17" s="34" t="s">
        <v>83</v>
      </c>
      <c r="C17" s="34" t="s">
        <v>81</v>
      </c>
      <c r="D17" s="34"/>
      <c r="E17" s="34"/>
      <c r="F17" s="34"/>
      <c r="G17" s="30"/>
    </row>
    <row r="18" spans="2:7" ht="29.25" customHeight="1" x14ac:dyDescent="0.2">
      <c r="B18" s="34" t="s">
        <v>126</v>
      </c>
      <c r="C18" s="34" t="s">
        <v>120</v>
      </c>
      <c r="D18" s="34">
        <v>285</v>
      </c>
      <c r="E18" s="34"/>
      <c r="F18" s="34"/>
      <c r="G18" s="30"/>
    </row>
    <row r="19" spans="2:7" ht="28.5" customHeight="1" x14ac:dyDescent="0.2">
      <c r="B19" s="34" t="s">
        <v>114</v>
      </c>
      <c r="C19" s="34" t="s">
        <v>121</v>
      </c>
      <c r="D19" s="34">
        <v>3.39</v>
      </c>
      <c r="E19" s="34"/>
      <c r="F19" s="34"/>
      <c r="G19" s="30"/>
    </row>
    <row r="20" spans="2:7" ht="14.25" customHeight="1" x14ac:dyDescent="0.2">
      <c r="B20" s="37" t="s">
        <v>84</v>
      </c>
      <c r="C20" s="37" t="s">
        <v>85</v>
      </c>
      <c r="D20" s="37"/>
      <c r="E20" s="39" t="s">
        <v>86</v>
      </c>
      <c r="F20" s="46">
        <v>331</v>
      </c>
      <c r="G20" s="38">
        <f>F20*'Con valor Unitario'!B$4</f>
        <v>8192.25</v>
      </c>
    </row>
    <row r="21" spans="2:7" ht="14.25" customHeight="1" x14ac:dyDescent="0.2">
      <c r="B21" s="34" t="s">
        <v>125</v>
      </c>
      <c r="C21" s="47" t="s">
        <v>85</v>
      </c>
      <c r="D21" s="47">
        <v>191</v>
      </c>
      <c r="E21" s="48"/>
      <c r="F21" s="47"/>
      <c r="G21" s="49"/>
    </row>
    <row r="22" spans="2:7" ht="14.25" customHeight="1" x14ac:dyDescent="0.2">
      <c r="B22" s="34" t="s">
        <v>125</v>
      </c>
      <c r="C22" s="34" t="s">
        <v>122</v>
      </c>
      <c r="D22" s="34">
        <v>12243</v>
      </c>
      <c r="E22" s="34"/>
      <c r="F22" s="34">
        <v>14980</v>
      </c>
      <c r="G22" s="30"/>
    </row>
    <row r="23" spans="2:7" ht="14.25" customHeight="1" x14ac:dyDescent="0.2">
      <c r="B23" s="34" t="s">
        <v>123</v>
      </c>
      <c r="C23" s="34" t="s">
        <v>124</v>
      </c>
      <c r="D23" s="34"/>
      <c r="E23" s="34"/>
      <c r="F23" s="34"/>
      <c r="G23" s="30"/>
    </row>
    <row r="24" spans="2:7" ht="14.25" customHeight="1" x14ac:dyDescent="0.2">
      <c r="B24" s="34" t="s">
        <v>87</v>
      </c>
      <c r="C24" s="34" t="s">
        <v>85</v>
      </c>
      <c r="D24" s="34">
        <v>70</v>
      </c>
      <c r="E24" s="34"/>
      <c r="F24" s="34"/>
      <c r="G24" s="30"/>
    </row>
    <row r="25" spans="2:7" ht="14.25" customHeight="1" x14ac:dyDescent="0.2">
      <c r="B25" s="105" t="s">
        <v>88</v>
      </c>
      <c r="C25" s="105"/>
      <c r="D25" s="105"/>
      <c r="E25" s="105"/>
      <c r="F25" s="105"/>
      <c r="G25" s="105"/>
    </row>
    <row r="26" spans="2:7" ht="14.25" customHeight="1" x14ac:dyDescent="0.2">
      <c r="B26" s="37" t="s">
        <v>128</v>
      </c>
      <c r="C26" s="37" t="s">
        <v>135</v>
      </c>
      <c r="D26" s="37"/>
      <c r="E26" s="39" t="s">
        <v>89</v>
      </c>
      <c r="F26" s="46">
        <v>832</v>
      </c>
      <c r="G26" s="38">
        <f>F26*'Con valor Unitario'!B$4</f>
        <v>20592</v>
      </c>
    </row>
    <row r="27" spans="2:7" ht="14.25" customHeight="1" x14ac:dyDescent="0.2">
      <c r="B27" s="34" t="s">
        <v>90</v>
      </c>
      <c r="C27" s="34" t="s">
        <v>91</v>
      </c>
      <c r="D27" s="34"/>
      <c r="E27" s="34"/>
      <c r="F27" s="34"/>
      <c r="G27" s="30"/>
    </row>
    <row r="28" spans="2:7" ht="14.25" customHeight="1" x14ac:dyDescent="0.2">
      <c r="B28" s="37" t="s">
        <v>92</v>
      </c>
      <c r="C28" s="37" t="s">
        <v>112</v>
      </c>
      <c r="D28" s="37"/>
      <c r="E28" s="39" t="s">
        <v>93</v>
      </c>
      <c r="F28" s="46">
        <v>470</v>
      </c>
      <c r="G28" s="38">
        <f>F28*'Con valor Unitario'!B$4</f>
        <v>11632.5</v>
      </c>
    </row>
    <row r="29" spans="2:7" ht="14.25" customHeight="1" x14ac:dyDescent="0.2">
      <c r="B29" s="31" t="s">
        <v>94</v>
      </c>
      <c r="C29" s="100" t="s">
        <v>137</v>
      </c>
      <c r="D29" s="31"/>
      <c r="E29" s="31"/>
      <c r="F29" s="31"/>
    </row>
    <row r="30" spans="2:7" ht="14.25" customHeight="1" x14ac:dyDescent="0.2">
      <c r="B30" s="31" t="s">
        <v>95</v>
      </c>
      <c r="C30" s="100"/>
      <c r="D30" s="31"/>
      <c r="E30" s="31"/>
      <c r="F30" s="31"/>
    </row>
    <row r="31" spans="2:7" ht="14.25" customHeight="1" x14ac:dyDescent="0.2">
      <c r="B31" s="31" t="s">
        <v>96</v>
      </c>
      <c r="C31" s="100" t="s">
        <v>137</v>
      </c>
      <c r="D31" s="31"/>
      <c r="E31" s="31"/>
      <c r="F31" s="31"/>
    </row>
    <row r="32" spans="2:7" ht="14.25" customHeight="1" x14ac:dyDescent="0.2">
      <c r="B32" s="31" t="s">
        <v>97</v>
      </c>
      <c r="C32" s="100"/>
      <c r="D32" s="31"/>
      <c r="E32" s="31"/>
      <c r="F32" s="31"/>
    </row>
    <row r="35" spans="2:2" ht="15" x14ac:dyDescent="0.2">
      <c r="B35" s="31" t="s">
        <v>104</v>
      </c>
    </row>
  </sheetData>
  <mergeCells count="8">
    <mergeCell ref="C31:C32"/>
    <mergeCell ref="E1:G1"/>
    <mergeCell ref="B1:B2"/>
    <mergeCell ref="C1:C2"/>
    <mergeCell ref="D1:D2"/>
    <mergeCell ref="B3:G3"/>
    <mergeCell ref="B25:G25"/>
    <mergeCell ref="C29:C30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4"/>
  <sheetViews>
    <sheetView tabSelected="1" topLeftCell="A43" workbookViewId="0">
      <selection activeCell="B50" sqref="B50"/>
    </sheetView>
  </sheetViews>
  <sheetFormatPr baseColWidth="10" defaultColWidth="9.140625" defaultRowHeight="12.75" x14ac:dyDescent="0.2"/>
  <cols>
    <col min="1" max="1" width="51.140625" customWidth="1"/>
    <col min="2" max="2" width="14.28515625" customWidth="1"/>
    <col min="3" max="3" width="10.7109375" customWidth="1"/>
    <col min="4" max="4" width="52.140625" customWidth="1"/>
    <col min="5" max="6" width="19.42578125" customWidth="1"/>
    <col min="7" max="7" width="17.42578125" customWidth="1"/>
    <col min="8" max="8" width="16.85546875" customWidth="1"/>
    <col min="9" max="12" width="10"/>
  </cols>
  <sheetData>
    <row r="1" spans="1:12" ht="15.75" x14ac:dyDescent="0.25">
      <c r="A1" s="1" t="s">
        <v>160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x14ac:dyDescent="0.25">
      <c r="A2" s="98" t="s">
        <v>143</v>
      </c>
      <c r="B2" s="98"/>
      <c r="C2" s="2"/>
      <c r="D2" s="98" t="s">
        <v>146</v>
      </c>
      <c r="E2" s="98"/>
      <c r="F2" s="2"/>
      <c r="G2" s="2"/>
      <c r="H2" s="2"/>
      <c r="I2" s="2"/>
      <c r="J2" s="2"/>
      <c r="K2" s="2"/>
      <c r="L2" s="2"/>
    </row>
    <row r="3" spans="1:12" ht="15" x14ac:dyDescent="0.25">
      <c r="A3" s="113" t="s">
        <v>65</v>
      </c>
      <c r="B3" s="114" t="s">
        <v>144</v>
      </c>
      <c r="D3" s="113" t="s">
        <v>145</v>
      </c>
      <c r="E3" s="115" t="s">
        <v>149</v>
      </c>
    </row>
    <row r="4" spans="1:12" ht="15.75" x14ac:dyDescent="0.25">
      <c r="A4" s="1" t="s">
        <v>45</v>
      </c>
      <c r="B4" s="75">
        <v>24.75</v>
      </c>
      <c r="D4" t="s">
        <v>179</v>
      </c>
      <c r="E4" s="110">
        <v>4033.06</v>
      </c>
    </row>
    <row r="5" spans="1:12" ht="15.75" x14ac:dyDescent="0.25">
      <c r="A5" s="1" t="s">
        <v>134</v>
      </c>
      <c r="B5" s="76">
        <v>45</v>
      </c>
      <c r="D5" t="s">
        <v>196</v>
      </c>
      <c r="E5" s="72">
        <f>'Costo por componente'!E6*B4</f>
        <v>13671.237322515213</v>
      </c>
    </row>
    <row r="6" spans="1:12" ht="15.75" x14ac:dyDescent="0.25">
      <c r="A6" s="1" t="s">
        <v>46</v>
      </c>
      <c r="B6" s="76">
        <v>500</v>
      </c>
      <c r="D6" t="s">
        <v>148</v>
      </c>
      <c r="E6" s="72">
        <v>19185</v>
      </c>
    </row>
    <row r="7" spans="1:12" ht="15.75" x14ac:dyDescent="0.25">
      <c r="A7" s="1" t="s">
        <v>53</v>
      </c>
      <c r="B7" s="77">
        <v>41.1</v>
      </c>
      <c r="D7" t="s">
        <v>150</v>
      </c>
      <c r="E7" s="78">
        <v>26111</v>
      </c>
    </row>
    <row r="8" spans="1:12" ht="15.75" x14ac:dyDescent="0.25">
      <c r="A8" s="1" t="s">
        <v>101</v>
      </c>
      <c r="B8" s="76">
        <v>64</v>
      </c>
      <c r="D8" t="s">
        <v>180</v>
      </c>
      <c r="E8" s="26">
        <f>(12886.79+3150)*B4</f>
        <v>396910.55250000005</v>
      </c>
    </row>
    <row r="9" spans="1:12" ht="15.75" x14ac:dyDescent="0.25">
      <c r="A9" s="1" t="s">
        <v>191</v>
      </c>
      <c r="B9" s="76">
        <f>B8*B6</f>
        <v>32000</v>
      </c>
      <c r="D9" t="s">
        <v>152</v>
      </c>
      <c r="E9" s="26">
        <f>B33</f>
        <v>42025.5</v>
      </c>
    </row>
    <row r="10" spans="1:12" ht="15.75" x14ac:dyDescent="0.25">
      <c r="A10" s="1" t="s">
        <v>190</v>
      </c>
      <c r="B10" s="76">
        <v>200</v>
      </c>
      <c r="D10" t="s">
        <v>151</v>
      </c>
      <c r="E10" s="26">
        <f>B34</f>
        <v>47470.5</v>
      </c>
    </row>
    <row r="11" spans="1:12" ht="15.75" x14ac:dyDescent="0.25">
      <c r="A11" s="1" t="s">
        <v>52</v>
      </c>
      <c r="B11" s="76">
        <v>86</v>
      </c>
      <c r="D11" t="s">
        <v>177</v>
      </c>
      <c r="E11" s="82">
        <f>((3.5-3)/3.5)/16</f>
        <v>8.9285714285714281E-3</v>
      </c>
      <c r="F11" t="s">
        <v>154</v>
      </c>
    </row>
    <row r="12" spans="1:12" ht="15.75" x14ac:dyDescent="0.25">
      <c r="A12" s="1" t="s">
        <v>188</v>
      </c>
      <c r="B12" s="76">
        <v>8</v>
      </c>
      <c r="D12" t="s">
        <v>162</v>
      </c>
      <c r="E12" s="82">
        <f>(172-151)/178/5</f>
        <v>2.3595505617977526E-2</v>
      </c>
      <c r="F12" t="s">
        <v>176</v>
      </c>
    </row>
    <row r="13" spans="1:12" ht="15.75" x14ac:dyDescent="0.25">
      <c r="A13" s="1" t="s">
        <v>189</v>
      </c>
      <c r="B13" s="76">
        <f>B11/B12</f>
        <v>10.75</v>
      </c>
    </row>
    <row r="14" spans="1:12" ht="15.75" x14ac:dyDescent="0.25">
      <c r="A14" s="1" t="s">
        <v>195</v>
      </c>
      <c r="B14" s="76">
        <v>2880</v>
      </c>
    </row>
    <row r="15" spans="1:12" ht="15.75" x14ac:dyDescent="0.25">
      <c r="A15" s="1" t="s">
        <v>192</v>
      </c>
      <c r="B15" s="76">
        <f>B9/B14</f>
        <v>11.111111111111111</v>
      </c>
    </row>
    <row r="16" spans="1:12" ht="15.75" customHeight="1" x14ac:dyDescent="0.25">
      <c r="A16" s="1" t="s">
        <v>136</v>
      </c>
      <c r="B16" s="76">
        <v>10</v>
      </c>
    </row>
    <row r="18" spans="1:9" ht="15" customHeight="1" x14ac:dyDescent="0.2">
      <c r="A18" s="11" t="s">
        <v>39</v>
      </c>
      <c r="B18" s="3" t="s">
        <v>40</v>
      </c>
      <c r="C18" s="3" t="s">
        <v>41</v>
      </c>
      <c r="D18" s="3" t="s">
        <v>44</v>
      </c>
      <c r="E18" s="3" t="s">
        <v>51</v>
      </c>
    </row>
    <row r="19" spans="1:9" ht="15" customHeight="1" x14ac:dyDescent="0.2">
      <c r="A19" s="12" t="s">
        <v>178</v>
      </c>
      <c r="B19" s="13">
        <v>4033.06</v>
      </c>
      <c r="C19" s="14">
        <f>B8</f>
        <v>64</v>
      </c>
      <c r="D19" s="13">
        <f>B19*C19</f>
        <v>258115.84</v>
      </c>
      <c r="E19" s="13">
        <f>D19/C19/B$6/B$4</f>
        <v>0.32590383838383835</v>
      </c>
    </row>
    <row r="20" spans="1:9" ht="15" customHeight="1" x14ac:dyDescent="0.2">
      <c r="A20" s="12" t="s">
        <v>47</v>
      </c>
      <c r="B20" s="13">
        <f>21%*B19</f>
        <v>846.94259999999997</v>
      </c>
      <c r="C20" s="14"/>
      <c r="D20" s="13">
        <f>21%*D19</f>
        <v>54204.326399999998</v>
      </c>
      <c r="E20" s="35">
        <f>21%*E19</f>
        <v>6.8439806060606054E-2</v>
      </c>
    </row>
    <row r="21" spans="1:9" ht="15" customHeight="1" x14ac:dyDescent="0.2">
      <c r="A21" s="12" t="s">
        <v>138</v>
      </c>
      <c r="B21" s="13">
        <f>180*B4</f>
        <v>4455</v>
      </c>
      <c r="C21" s="14">
        <f>B8</f>
        <v>64</v>
      </c>
      <c r="D21" s="13">
        <f>B21*C21</f>
        <v>285120</v>
      </c>
      <c r="E21" s="13">
        <f>D21/C21/B$6/B$4</f>
        <v>0.36</v>
      </c>
      <c r="F21" s="25"/>
    </row>
    <row r="22" spans="1:9" ht="15" customHeight="1" x14ac:dyDescent="0.2">
      <c r="A22" s="15" t="s">
        <v>48</v>
      </c>
      <c r="B22" s="16">
        <f>SUM(B19:B21)</f>
        <v>9335.0025999999998</v>
      </c>
      <c r="C22" s="17"/>
      <c r="D22" s="16">
        <f>SUM(D19:D21)</f>
        <v>597440.16639999999</v>
      </c>
      <c r="E22" s="16">
        <f>SUM(E19:E21)</f>
        <v>0.75434364444444446</v>
      </c>
      <c r="F22" s="25"/>
    </row>
    <row r="23" spans="1:9" ht="15" customHeight="1" x14ac:dyDescent="0.2">
      <c r="A23" s="4" t="s">
        <v>194</v>
      </c>
      <c r="B23" s="5">
        <f>E5</f>
        <v>13671.237322515213</v>
      </c>
      <c r="C23" s="112">
        <f>B15</f>
        <v>11.111111111111111</v>
      </c>
      <c r="D23" s="5">
        <f>C23*B23</f>
        <v>151902.63691683571</v>
      </c>
      <c r="E23" s="53">
        <f>D23/B$14/B$4/C23</f>
        <v>0.19179625873337844</v>
      </c>
      <c r="F23" s="25"/>
    </row>
    <row r="24" spans="1:9" ht="15" customHeight="1" x14ac:dyDescent="0.2">
      <c r="A24" s="4" t="s">
        <v>131</v>
      </c>
      <c r="B24" s="5">
        <f>B23*1%</f>
        <v>136.71237322515213</v>
      </c>
      <c r="C24" s="8"/>
      <c r="D24" s="55">
        <f>D23*1%</f>
        <v>1519.0263691683572</v>
      </c>
      <c r="E24" s="54">
        <f>E23*1%</f>
        <v>1.9179625873337845E-3</v>
      </c>
      <c r="F24" s="25"/>
    </row>
    <row r="25" spans="1:9" ht="15" customHeight="1" x14ac:dyDescent="0.2">
      <c r="A25" s="18" t="s">
        <v>133</v>
      </c>
      <c r="B25" s="10">
        <f>SUM(B23:B24)</f>
        <v>13807.949695740366</v>
      </c>
      <c r="C25" s="56"/>
      <c r="D25" s="57">
        <f>SUM(D23:D24)</f>
        <v>153421.66328600407</v>
      </c>
      <c r="E25" s="58">
        <f>SUM(E23:E24)</f>
        <v>0.19371422132071223</v>
      </c>
      <c r="F25" s="25"/>
    </row>
    <row r="26" spans="1:9" ht="15" customHeight="1" x14ac:dyDescent="0.2">
      <c r="A26" s="19" t="s">
        <v>156</v>
      </c>
      <c r="B26" s="20">
        <v>19185</v>
      </c>
      <c r="C26" s="21">
        <f>B11</f>
        <v>86</v>
      </c>
      <c r="D26" s="20">
        <f>B26*C26</f>
        <v>1649910</v>
      </c>
      <c r="E26" s="40">
        <f>D26/B$10/B$4/12/C26</f>
        <v>0.32297979797979798</v>
      </c>
      <c r="F26" s="25"/>
    </row>
    <row r="27" spans="1:9" ht="15" customHeight="1" x14ac:dyDescent="0.2">
      <c r="A27" s="19" t="s">
        <v>139</v>
      </c>
      <c r="B27" s="20">
        <f>B26*1%</f>
        <v>191.85</v>
      </c>
      <c r="C27" s="21"/>
      <c r="D27" s="20">
        <f>D26*1%</f>
        <v>16499.099999999999</v>
      </c>
      <c r="E27" s="40">
        <f>D27/C26/B$10/B$4/12</f>
        <v>3.2297979797979797E-3</v>
      </c>
      <c r="F27" s="25"/>
    </row>
    <row r="28" spans="1:9" ht="15" customHeight="1" x14ac:dyDescent="0.2">
      <c r="A28" s="19" t="s">
        <v>111</v>
      </c>
      <c r="B28" s="20">
        <f>B26*7%</f>
        <v>1342.95</v>
      </c>
      <c r="C28" s="21"/>
      <c r="D28" s="20">
        <f>D26*7%</f>
        <v>115493.70000000001</v>
      </c>
      <c r="E28" s="40">
        <f>D28/C26/B$10/B$4/12</f>
        <v>2.2608585858585859E-2</v>
      </c>
      <c r="F28" s="25"/>
    </row>
    <row r="29" spans="1:9" ht="15" customHeight="1" x14ac:dyDescent="0.2">
      <c r="A29" s="22" t="s">
        <v>50</v>
      </c>
      <c r="B29" s="23">
        <f>SUM(B26:B27)</f>
        <v>19376.849999999999</v>
      </c>
      <c r="C29" s="24"/>
      <c r="D29" s="23">
        <f>SUM(D26:D27)</f>
        <v>1666409.1</v>
      </c>
      <c r="E29" s="41">
        <f>SUM(E26:E28)</f>
        <v>0.34881818181818186</v>
      </c>
      <c r="F29" s="25"/>
    </row>
    <row r="30" spans="1:9" ht="15" customHeight="1" x14ac:dyDescent="0.2">
      <c r="A30" s="84" t="s">
        <v>140</v>
      </c>
      <c r="B30" s="88">
        <f>844*B4/0.8</f>
        <v>26111.25</v>
      </c>
      <c r="C30" s="85" t="s">
        <v>42</v>
      </c>
      <c r="D30" s="86">
        <f>B30*B16</f>
        <v>261112.5</v>
      </c>
      <c r="E30" s="87"/>
      <c r="F30" s="25"/>
    </row>
    <row r="31" spans="1:9" ht="15" customHeight="1" x14ac:dyDescent="0.2">
      <c r="A31" s="93" t="s">
        <v>157</v>
      </c>
      <c r="B31" s="94"/>
      <c r="C31" s="94"/>
      <c r="D31" s="94"/>
      <c r="E31" s="94"/>
      <c r="F31" s="83"/>
      <c r="G31" s="74"/>
      <c r="H31" s="9"/>
      <c r="I31" s="25"/>
    </row>
    <row r="32" spans="1:9" ht="15" customHeight="1" x14ac:dyDescent="0.2">
      <c r="A32" s="18" t="s">
        <v>181</v>
      </c>
      <c r="B32" s="5"/>
      <c r="C32" s="56" t="s">
        <v>42</v>
      </c>
      <c r="D32" s="10">
        <f>E8</f>
        <v>396910.55250000005</v>
      </c>
      <c r="E32" s="5"/>
      <c r="F32" s="6">
        <v>2.8986086956521735</v>
      </c>
      <c r="G32" s="9"/>
    </row>
    <row r="33" spans="1:8" ht="15" customHeight="1" x14ac:dyDescent="0.2">
      <c r="A33" s="18" t="s">
        <v>141</v>
      </c>
      <c r="B33" s="5">
        <f>1698*B4</f>
        <v>42025.5</v>
      </c>
      <c r="C33" s="56" t="s">
        <v>42</v>
      </c>
      <c r="D33" s="57">
        <f>B33*B16</f>
        <v>420255</v>
      </c>
      <c r="E33" s="5"/>
      <c r="F33" s="6">
        <v>45.79710144927536</v>
      </c>
      <c r="G33" s="9"/>
    </row>
    <row r="34" spans="1:8" ht="15" customHeight="1" x14ac:dyDescent="0.2">
      <c r="A34" s="18" t="s">
        <v>142</v>
      </c>
      <c r="B34" s="5">
        <f>1918*B4</f>
        <v>47470.5</v>
      </c>
      <c r="C34" s="56" t="s">
        <v>42</v>
      </c>
      <c r="D34" s="57">
        <f>B34*B16</f>
        <v>474705</v>
      </c>
      <c r="E34" s="5"/>
      <c r="F34" s="6">
        <v>14.492753623188406</v>
      </c>
      <c r="G34" s="7"/>
    </row>
    <row r="35" spans="1:8" x14ac:dyDescent="0.2">
      <c r="A35" s="89" t="s">
        <v>158</v>
      </c>
      <c r="B35" s="89"/>
      <c r="C35" s="89"/>
      <c r="D35" s="73">
        <f>SUM(D32:D34)</f>
        <v>1291870.5525</v>
      </c>
    </row>
    <row r="38" spans="1:8" ht="15.75" x14ac:dyDescent="0.25">
      <c r="A38" s="1" t="s">
        <v>161</v>
      </c>
      <c r="B38" s="2"/>
      <c r="C38" s="2"/>
      <c r="D38" s="2"/>
      <c r="E38" s="2"/>
      <c r="F38" s="2"/>
      <c r="G38" s="2"/>
      <c r="H38" s="2"/>
    </row>
    <row r="39" spans="1:8" ht="15.75" x14ac:dyDescent="0.25">
      <c r="A39" s="116" t="s">
        <v>143</v>
      </c>
      <c r="B39" s="116"/>
      <c r="C39" s="2"/>
      <c r="D39" s="116" t="s">
        <v>146</v>
      </c>
      <c r="E39" s="116"/>
      <c r="F39" s="2"/>
      <c r="G39" s="2"/>
      <c r="H39" s="2"/>
    </row>
    <row r="40" spans="1:8" ht="15" x14ac:dyDescent="0.25">
      <c r="A40" s="113" t="s">
        <v>65</v>
      </c>
      <c r="B40" s="114" t="s">
        <v>144</v>
      </c>
      <c r="D40" s="113" t="s">
        <v>145</v>
      </c>
      <c r="E40" s="115" t="s">
        <v>149</v>
      </c>
    </row>
    <row r="41" spans="1:8" ht="15.75" x14ac:dyDescent="0.25">
      <c r="A41" s="1" t="s">
        <v>45</v>
      </c>
      <c r="B41" s="75">
        <v>24.75</v>
      </c>
      <c r="D41" t="s">
        <v>179</v>
      </c>
      <c r="E41" s="72">
        <v>4033.5</v>
      </c>
    </row>
    <row r="42" spans="1:8" ht="15.75" x14ac:dyDescent="0.25">
      <c r="A42" s="1" t="s">
        <v>134</v>
      </c>
      <c r="B42" s="76">
        <v>668</v>
      </c>
      <c r="D42" t="s">
        <v>196</v>
      </c>
      <c r="E42" s="72">
        <f>'Costo por componente'!E6*B41</f>
        <v>13671.237322515213</v>
      </c>
    </row>
    <row r="43" spans="1:8" ht="15.75" x14ac:dyDescent="0.25">
      <c r="A43" s="1" t="s">
        <v>46</v>
      </c>
      <c r="B43" s="76">
        <v>500</v>
      </c>
      <c r="D43" t="s">
        <v>148</v>
      </c>
      <c r="E43" s="72">
        <v>19185</v>
      </c>
    </row>
    <row r="44" spans="1:8" ht="15.75" x14ac:dyDescent="0.25">
      <c r="A44" s="1" t="s">
        <v>53</v>
      </c>
      <c r="B44" s="77">
        <v>41.1</v>
      </c>
      <c r="D44" t="s">
        <v>150</v>
      </c>
      <c r="E44" s="78">
        <v>26111</v>
      </c>
    </row>
    <row r="45" spans="1:8" ht="15.75" x14ac:dyDescent="0.25">
      <c r="A45" s="1" t="s">
        <v>101</v>
      </c>
      <c r="B45" s="76">
        <v>1790</v>
      </c>
      <c r="D45" t="s">
        <v>180</v>
      </c>
      <c r="E45" s="26">
        <f>(273594.48+46760)*B41</f>
        <v>7928773.3799999999</v>
      </c>
    </row>
    <row r="46" spans="1:8" ht="15.75" x14ac:dyDescent="0.25">
      <c r="A46" s="1" t="s">
        <v>191</v>
      </c>
      <c r="B46" s="76">
        <f>B45*B43</f>
        <v>895000</v>
      </c>
      <c r="D46" t="s">
        <v>152</v>
      </c>
      <c r="E46" s="26">
        <f>B70</f>
        <v>20592</v>
      </c>
    </row>
    <row r="47" spans="1:8" ht="15.75" x14ac:dyDescent="0.25">
      <c r="A47" s="1" t="s">
        <v>190</v>
      </c>
      <c r="B47" s="76">
        <v>200</v>
      </c>
      <c r="D47" t="s">
        <v>151</v>
      </c>
      <c r="E47" s="26">
        <f>B71</f>
        <v>11632.5</v>
      </c>
    </row>
    <row r="48" spans="1:8" ht="15.75" x14ac:dyDescent="0.25">
      <c r="A48" s="1" t="s">
        <v>52</v>
      </c>
      <c r="B48" s="76">
        <v>998</v>
      </c>
      <c r="D48" t="s">
        <v>153</v>
      </c>
      <c r="E48" s="81">
        <f>((0.3/3.5)/16)</f>
        <v>5.3571428571428572E-3</v>
      </c>
      <c r="F48" t="s">
        <v>154</v>
      </c>
    </row>
    <row r="49" spans="1:6" ht="15.75" x14ac:dyDescent="0.25">
      <c r="A49" s="1" t="s">
        <v>188</v>
      </c>
      <c r="B49" s="76">
        <v>8</v>
      </c>
      <c r="D49" t="s">
        <v>159</v>
      </c>
      <c r="E49" s="80">
        <f>((137/384)/5)</f>
        <v>7.1354166666666663E-2</v>
      </c>
      <c r="F49" t="s">
        <v>155</v>
      </c>
    </row>
    <row r="50" spans="1:6" ht="15.75" x14ac:dyDescent="0.25">
      <c r="A50" s="1" t="s">
        <v>189</v>
      </c>
      <c r="B50" s="76">
        <f>B48/B49</f>
        <v>124.75</v>
      </c>
      <c r="E50" s="80"/>
    </row>
    <row r="51" spans="1:6" ht="15.75" x14ac:dyDescent="0.25">
      <c r="A51" s="1" t="s">
        <v>195</v>
      </c>
      <c r="B51" s="76">
        <v>2880</v>
      </c>
      <c r="E51" s="80"/>
    </row>
    <row r="52" spans="1:6" ht="15.75" x14ac:dyDescent="0.25">
      <c r="A52" s="1" t="s">
        <v>192</v>
      </c>
      <c r="B52" s="76">
        <f>B46/B51</f>
        <v>310.76388888888891</v>
      </c>
      <c r="E52" s="80"/>
    </row>
    <row r="53" spans="1:6" ht="15.75" customHeight="1" x14ac:dyDescent="0.2">
      <c r="A53" t="s">
        <v>136</v>
      </c>
      <c r="B53" s="92">
        <v>154</v>
      </c>
    </row>
    <row r="55" spans="1:6" x14ac:dyDescent="0.2">
      <c r="A55" s="11" t="s">
        <v>39</v>
      </c>
      <c r="B55" s="3" t="s">
        <v>40</v>
      </c>
      <c r="C55" s="3" t="s">
        <v>41</v>
      </c>
      <c r="D55" s="3" t="s">
        <v>44</v>
      </c>
      <c r="E55" s="3" t="s">
        <v>51</v>
      </c>
    </row>
    <row r="56" spans="1:6" x14ac:dyDescent="0.2">
      <c r="A56" s="12" t="s">
        <v>178</v>
      </c>
      <c r="B56" s="13">
        <v>4033.06</v>
      </c>
      <c r="C56" s="14">
        <f>B45</f>
        <v>1790</v>
      </c>
      <c r="D56" s="13">
        <f>B56*C56</f>
        <v>7219177.3999999994</v>
      </c>
      <c r="E56" s="13">
        <f>D56/C56/B$6/B$4</f>
        <v>0.32590383838383835</v>
      </c>
    </row>
    <row r="57" spans="1:6" x14ac:dyDescent="0.2">
      <c r="A57" s="12" t="s">
        <v>47</v>
      </c>
      <c r="B57" s="13">
        <f>21%*B56</f>
        <v>846.94259999999997</v>
      </c>
      <c r="C57" s="14"/>
      <c r="D57" s="13">
        <f>21%*D56</f>
        <v>1516027.2539999997</v>
      </c>
      <c r="E57" s="35">
        <f>21%*E56</f>
        <v>6.8439806060606054E-2</v>
      </c>
    </row>
    <row r="58" spans="1:6" x14ac:dyDescent="0.2">
      <c r="A58" s="12" t="s">
        <v>138</v>
      </c>
      <c r="B58" s="13">
        <f>180*B41</f>
        <v>4455</v>
      </c>
      <c r="C58" s="14">
        <f>B45</f>
        <v>1790</v>
      </c>
      <c r="D58" s="13">
        <f>B58*C58</f>
        <v>7974450</v>
      </c>
      <c r="E58" s="13">
        <f>D58/C58/B$6/B$4</f>
        <v>0.36</v>
      </c>
    </row>
    <row r="59" spans="1:6" x14ac:dyDescent="0.2">
      <c r="A59" s="15" t="s">
        <v>48</v>
      </c>
      <c r="B59" s="16">
        <f>SUM(B56:B58)</f>
        <v>9335.0025999999998</v>
      </c>
      <c r="C59" s="17"/>
      <c r="D59" s="16">
        <f>SUM(D56:D58)</f>
        <v>16709654.653999999</v>
      </c>
      <c r="E59" s="16">
        <f>SUM(E56:E58)</f>
        <v>0.75434364444444446</v>
      </c>
    </row>
    <row r="60" spans="1:6" x14ac:dyDescent="0.2">
      <c r="A60" s="4" t="s">
        <v>130</v>
      </c>
      <c r="B60" s="5">
        <f>E42</f>
        <v>13671.237322515213</v>
      </c>
      <c r="C60" s="112">
        <f>B52</f>
        <v>310.76388888888891</v>
      </c>
      <c r="D60" s="5">
        <f>C60*B60</f>
        <v>4248526.8762677489</v>
      </c>
      <c r="E60" s="53">
        <f>D60/B$51/B$4/C60</f>
        <v>0.19179625873337841</v>
      </c>
    </row>
    <row r="61" spans="1:6" x14ac:dyDescent="0.2">
      <c r="A61" s="4" t="s">
        <v>131</v>
      </c>
      <c r="B61" s="5">
        <f>B60*1%</f>
        <v>136.71237322515213</v>
      </c>
      <c r="C61" s="8"/>
      <c r="D61" s="55">
        <f>D60*1%</f>
        <v>42485.268762677493</v>
      </c>
      <c r="E61" s="54">
        <f>E60*1%</f>
        <v>1.9179625873337841E-3</v>
      </c>
    </row>
    <row r="62" spans="1:6" x14ac:dyDescent="0.2">
      <c r="A62" s="18" t="s">
        <v>133</v>
      </c>
      <c r="B62" s="10">
        <f>SUM(B60:B61)</f>
        <v>13807.949695740366</v>
      </c>
      <c r="C62" s="56"/>
      <c r="D62" s="57">
        <f>SUM(D60:D61)</f>
        <v>4291012.1450304268</v>
      </c>
      <c r="E62" s="58">
        <f>SUM(E60:E61)</f>
        <v>0.1937142213207122</v>
      </c>
    </row>
    <row r="63" spans="1:6" x14ac:dyDescent="0.2">
      <c r="A63" s="19" t="s">
        <v>156</v>
      </c>
      <c r="B63" s="20">
        <v>19185</v>
      </c>
      <c r="C63" s="21">
        <f>B47</f>
        <v>200</v>
      </c>
      <c r="D63" s="20">
        <f>B63*C63</f>
        <v>3837000</v>
      </c>
      <c r="E63" s="40">
        <f>D63/B$10/B$4/12/C63</f>
        <v>0.32297979797979798</v>
      </c>
    </row>
    <row r="64" spans="1:6" x14ac:dyDescent="0.2">
      <c r="A64" s="19" t="s">
        <v>139</v>
      </c>
      <c r="B64" s="20">
        <f>B63*1%</f>
        <v>191.85</v>
      </c>
      <c r="C64" s="21"/>
      <c r="D64" s="20">
        <f>D63*1%</f>
        <v>38370</v>
      </c>
      <c r="E64" s="40">
        <f>D64/C63/B$10/B$4/12</f>
        <v>3.2297979797979797E-3</v>
      </c>
    </row>
    <row r="65" spans="1:5" x14ac:dyDescent="0.2">
      <c r="A65" s="19" t="s">
        <v>111</v>
      </c>
      <c r="B65" s="20">
        <f>B63*7%</f>
        <v>1342.95</v>
      </c>
      <c r="C65" s="21"/>
      <c r="D65" s="20">
        <f>D63*7%</f>
        <v>268590</v>
      </c>
      <c r="E65" s="40">
        <f>D65/C63/B$10/B$4/12</f>
        <v>2.2608585858585859E-2</v>
      </c>
    </row>
    <row r="66" spans="1:5" x14ac:dyDescent="0.2">
      <c r="A66" s="22" t="s">
        <v>50</v>
      </c>
      <c r="B66" s="23">
        <f>SUM(B63:B64)</f>
        <v>19376.849999999999</v>
      </c>
      <c r="C66" s="24"/>
      <c r="D66" s="23">
        <f>SUM(D63:D64)</f>
        <v>3875370</v>
      </c>
      <c r="E66" s="41">
        <f>SUM(E63:E65)</f>
        <v>0.34881818181818186</v>
      </c>
    </row>
    <row r="67" spans="1:5" x14ac:dyDescent="0.2">
      <c r="A67" s="84" t="s">
        <v>140</v>
      </c>
      <c r="B67" s="88">
        <f>844*B41/0.8</f>
        <v>26111.25</v>
      </c>
      <c r="C67" s="85" t="s">
        <v>42</v>
      </c>
      <c r="D67" s="86">
        <f>B67*B53</f>
        <v>4021132.5</v>
      </c>
      <c r="E67" s="87"/>
    </row>
    <row r="68" spans="1:5" x14ac:dyDescent="0.2">
      <c r="A68" s="93" t="s">
        <v>157</v>
      </c>
      <c r="B68" s="94"/>
      <c r="C68" s="94"/>
      <c r="D68" s="94"/>
      <c r="E68" s="95"/>
    </row>
    <row r="69" spans="1:5" x14ac:dyDescent="0.2">
      <c r="A69" s="96" t="s">
        <v>182</v>
      </c>
      <c r="B69" s="5"/>
      <c r="C69" s="56" t="s">
        <v>42</v>
      </c>
      <c r="D69" s="10">
        <f>E45</f>
        <v>7928773.3799999999</v>
      </c>
      <c r="E69" s="5"/>
    </row>
    <row r="70" spans="1:5" x14ac:dyDescent="0.2">
      <c r="A70" s="18" t="s">
        <v>184</v>
      </c>
      <c r="B70" s="5">
        <f>832*B41</f>
        <v>20592</v>
      </c>
      <c r="C70" s="56" t="s">
        <v>42</v>
      </c>
      <c r="D70" s="57">
        <f>B70*B53</f>
        <v>3171168</v>
      </c>
      <c r="E70" s="5"/>
    </row>
    <row r="71" spans="1:5" x14ac:dyDescent="0.2">
      <c r="A71" s="18" t="s">
        <v>183</v>
      </c>
      <c r="B71" s="5">
        <f>470*B41</f>
        <v>11632.5</v>
      </c>
      <c r="C71" s="56" t="s">
        <v>42</v>
      </c>
      <c r="D71" s="57">
        <f>B71*B53</f>
        <v>1791405</v>
      </c>
      <c r="E71" s="5"/>
    </row>
    <row r="72" spans="1:5" x14ac:dyDescent="0.2">
      <c r="A72" s="89" t="s">
        <v>158</v>
      </c>
      <c r="B72" s="89"/>
      <c r="C72" s="89"/>
      <c r="D72" s="73">
        <f>SUM(D69:D71)</f>
        <v>12891346.379999999</v>
      </c>
    </row>
    <row r="74" spans="1:5" x14ac:dyDescent="0.2">
      <c r="A74" s="89" t="s">
        <v>175</v>
      </c>
      <c r="B74" s="26">
        <f>D72+D67+D66+D62+D59</f>
        <v>41788515.679030426</v>
      </c>
    </row>
  </sheetData>
  <mergeCells count="4">
    <mergeCell ref="A2:B2"/>
    <mergeCell ref="D2:E2"/>
    <mergeCell ref="A39:B39"/>
    <mergeCell ref="D39:E39"/>
  </mergeCells>
  <phoneticPr fontId="11" type="noConversion"/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757ED-EDFA-420C-8AA7-2E93B8C2EBEE}">
  <dimension ref="A1:L69"/>
  <sheetViews>
    <sheetView topLeftCell="A49" workbookViewId="0">
      <selection activeCell="D26" sqref="D26"/>
    </sheetView>
  </sheetViews>
  <sheetFormatPr baseColWidth="10" defaultColWidth="9.140625" defaultRowHeight="12.75" x14ac:dyDescent="0.2"/>
  <cols>
    <col min="1" max="1" width="49.140625" customWidth="1"/>
    <col min="2" max="2" width="14.28515625" customWidth="1"/>
    <col min="3" max="3" width="10.7109375" customWidth="1"/>
    <col min="4" max="4" width="40.140625" customWidth="1"/>
    <col min="5" max="6" width="19.42578125" customWidth="1"/>
    <col min="7" max="7" width="17.42578125" customWidth="1"/>
    <col min="8" max="8" width="16.85546875" customWidth="1"/>
  </cols>
  <sheetData>
    <row r="1" spans="1:12" ht="15.75" x14ac:dyDescent="0.25">
      <c r="A1" s="1" t="s">
        <v>160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x14ac:dyDescent="0.25">
      <c r="A2" t="s">
        <v>143</v>
      </c>
      <c r="B2" s="2"/>
      <c r="C2" s="2"/>
      <c r="D2" t="s">
        <v>146</v>
      </c>
      <c r="E2" s="2"/>
      <c r="F2" s="2"/>
      <c r="G2" s="2"/>
      <c r="H2" s="2"/>
      <c r="I2" s="2"/>
      <c r="J2" s="2"/>
      <c r="K2" s="2"/>
      <c r="L2" s="2"/>
    </row>
    <row r="3" spans="1:12" ht="15" x14ac:dyDescent="0.25">
      <c r="A3" t="s">
        <v>65</v>
      </c>
      <c r="B3" s="76" t="s">
        <v>144</v>
      </c>
      <c r="D3" t="s">
        <v>145</v>
      </c>
      <c r="E3" s="79" t="s">
        <v>149</v>
      </c>
    </row>
    <row r="4" spans="1:12" ht="15.75" x14ac:dyDescent="0.25">
      <c r="A4" s="1" t="s">
        <v>45</v>
      </c>
      <c r="B4" s="75">
        <v>24.75</v>
      </c>
      <c r="D4" t="s">
        <v>179</v>
      </c>
      <c r="E4" s="72">
        <v>4033.5</v>
      </c>
    </row>
    <row r="5" spans="1:12" ht="15.75" x14ac:dyDescent="0.25">
      <c r="A5" s="1" t="s">
        <v>134</v>
      </c>
      <c r="B5" s="76">
        <v>45</v>
      </c>
      <c r="D5" t="s">
        <v>147</v>
      </c>
      <c r="E5" s="72">
        <v>66048.322408722117</v>
      </c>
    </row>
    <row r="6" spans="1:12" ht="15.75" x14ac:dyDescent="0.25">
      <c r="A6" s="1" t="s">
        <v>46</v>
      </c>
      <c r="B6" s="76">
        <v>500</v>
      </c>
      <c r="D6" t="s">
        <v>148</v>
      </c>
      <c r="E6" s="72">
        <v>19185</v>
      </c>
    </row>
    <row r="7" spans="1:12" ht="15.75" x14ac:dyDescent="0.25">
      <c r="A7" s="1" t="s">
        <v>53</v>
      </c>
      <c r="B7" s="77">
        <v>41.1</v>
      </c>
      <c r="D7" t="s">
        <v>165</v>
      </c>
      <c r="E7" s="91">
        <v>0.1</v>
      </c>
    </row>
    <row r="8" spans="1:12" ht="15.75" x14ac:dyDescent="0.25">
      <c r="A8" s="1" t="s">
        <v>101</v>
      </c>
      <c r="B8" s="76">
        <v>114</v>
      </c>
      <c r="D8" t="s">
        <v>180</v>
      </c>
      <c r="E8" s="26">
        <f>(12886.79+3150)*B4</f>
        <v>396910.55250000005</v>
      </c>
    </row>
    <row r="9" spans="1:12" ht="15.75" x14ac:dyDescent="0.25">
      <c r="A9" s="1" t="s">
        <v>49</v>
      </c>
      <c r="B9" s="76">
        <v>200</v>
      </c>
      <c r="D9" t="s">
        <v>163</v>
      </c>
      <c r="E9" s="80">
        <v>0.11</v>
      </c>
    </row>
    <row r="10" spans="1:12" ht="15.75" x14ac:dyDescent="0.25">
      <c r="A10" s="1" t="s">
        <v>52</v>
      </c>
      <c r="B10" s="76">
        <v>33</v>
      </c>
      <c r="D10" t="s">
        <v>164</v>
      </c>
      <c r="E10" s="80">
        <v>0.06</v>
      </c>
    </row>
    <row r="11" spans="1:12" ht="15.75" customHeight="1" x14ac:dyDescent="0.25">
      <c r="A11" s="1" t="s">
        <v>132</v>
      </c>
      <c r="B11" s="76">
        <v>11500</v>
      </c>
      <c r="D11" t="s">
        <v>153</v>
      </c>
      <c r="E11" s="81">
        <f>((0.3/3.5)/16)</f>
        <v>5.3571428571428572E-3</v>
      </c>
      <c r="F11" t="s">
        <v>154</v>
      </c>
    </row>
    <row r="12" spans="1:12" ht="15.75" customHeight="1" x14ac:dyDescent="0.25">
      <c r="A12" s="1" t="s">
        <v>136</v>
      </c>
      <c r="B12" s="76">
        <v>12</v>
      </c>
      <c r="D12" t="s">
        <v>162</v>
      </c>
      <c r="E12" s="80">
        <f>((137/384)/5)</f>
        <v>7.1354166666666663E-2</v>
      </c>
      <c r="F12" t="s">
        <v>155</v>
      </c>
    </row>
    <row r="14" spans="1:12" ht="15" customHeight="1" x14ac:dyDescent="0.2">
      <c r="A14" s="11" t="s">
        <v>39</v>
      </c>
      <c r="B14" s="3" t="s">
        <v>40</v>
      </c>
      <c r="C14" s="3" t="s">
        <v>41</v>
      </c>
      <c r="D14" s="3" t="s">
        <v>44</v>
      </c>
      <c r="E14" s="3" t="s">
        <v>51</v>
      </c>
    </row>
    <row r="15" spans="1:12" ht="15" customHeight="1" x14ac:dyDescent="0.2">
      <c r="A15" s="12" t="s">
        <v>178</v>
      </c>
      <c r="B15" s="13">
        <v>4033.06</v>
      </c>
      <c r="C15" s="14">
        <f>B8</f>
        <v>114</v>
      </c>
      <c r="D15" s="13">
        <f>B15*C15</f>
        <v>459768.83999999997</v>
      </c>
      <c r="E15" s="13">
        <f>D15/C15/B$6/B$4</f>
        <v>0.32590383838383835</v>
      </c>
    </row>
    <row r="16" spans="1:12" ht="15" customHeight="1" x14ac:dyDescent="0.2">
      <c r="A16" s="12" t="s">
        <v>47</v>
      </c>
      <c r="B16" s="13">
        <f>21%*B15</f>
        <v>846.94259999999997</v>
      </c>
      <c r="C16" s="14"/>
      <c r="D16" s="13">
        <f>21%*D15</f>
        <v>96551.456399999995</v>
      </c>
      <c r="E16" s="35">
        <f>21%*E15</f>
        <v>6.8439806060606054E-2</v>
      </c>
    </row>
    <row r="17" spans="1:9" ht="15" customHeight="1" x14ac:dyDescent="0.2">
      <c r="A17" s="12" t="s">
        <v>138</v>
      </c>
      <c r="B17" s="13">
        <f>180*B4</f>
        <v>4455</v>
      </c>
      <c r="C17" s="14">
        <f>B8</f>
        <v>114</v>
      </c>
      <c r="D17" s="13">
        <f>B17*C17</f>
        <v>507870</v>
      </c>
      <c r="E17" s="13">
        <f>D17/C17/B$6/B$4</f>
        <v>0.36</v>
      </c>
      <c r="F17" s="25"/>
    </row>
    <row r="18" spans="1:9" ht="15" customHeight="1" x14ac:dyDescent="0.2">
      <c r="A18" s="15" t="s">
        <v>48</v>
      </c>
      <c r="B18" s="16">
        <f>SUM(B15:B17)</f>
        <v>9335.0025999999998</v>
      </c>
      <c r="C18" s="17"/>
      <c r="D18" s="16">
        <f>SUM(D15:D17)</f>
        <v>1064190.2963999999</v>
      </c>
      <c r="E18" s="16">
        <f>SUM(E15:E17)</f>
        <v>0.75434364444444446</v>
      </c>
      <c r="F18" s="25"/>
    </row>
    <row r="19" spans="1:9" ht="15" customHeight="1" x14ac:dyDescent="0.2">
      <c r="A19" s="4" t="s">
        <v>130</v>
      </c>
      <c r="B19" s="5">
        <f>'Costo por componente'!I6*1.15*B4</f>
        <v>75955.570770030419</v>
      </c>
      <c r="C19" s="8">
        <f>ROUNDUP(B8/40,0)</f>
        <v>3</v>
      </c>
      <c r="D19" s="5">
        <f>C19*B19</f>
        <v>227866.71231009124</v>
      </c>
      <c r="E19" s="90">
        <f>D19/B$11/B$4/C19</f>
        <v>0.26686190872210952</v>
      </c>
      <c r="F19" s="25"/>
    </row>
    <row r="20" spans="1:9" ht="15" customHeight="1" x14ac:dyDescent="0.2">
      <c r="A20" s="4" t="s">
        <v>131</v>
      </c>
      <c r="B20" s="5">
        <f>B19*1%</f>
        <v>759.5557077003042</v>
      </c>
      <c r="C20" s="8"/>
      <c r="D20" s="55">
        <f>D19*1%</f>
        <v>2278.6671231009127</v>
      </c>
      <c r="E20" s="54">
        <f>E19*1%</f>
        <v>2.668619087221095E-3</v>
      </c>
      <c r="F20" s="25"/>
    </row>
    <row r="21" spans="1:9" ht="15" customHeight="1" x14ac:dyDescent="0.2">
      <c r="A21" s="18" t="s">
        <v>133</v>
      </c>
      <c r="B21" s="10">
        <f>SUM(B19:B20)</f>
        <v>76715.126477730722</v>
      </c>
      <c r="C21" s="56"/>
      <c r="D21" s="57">
        <f>SUM(D19:D20)</f>
        <v>230145.37943319217</v>
      </c>
      <c r="E21" s="58">
        <f>SUM(E19:E20)</f>
        <v>0.26953052780933062</v>
      </c>
      <c r="F21" s="25"/>
    </row>
    <row r="22" spans="1:9" ht="15" customHeight="1" x14ac:dyDescent="0.2">
      <c r="A22" s="19" t="s">
        <v>156</v>
      </c>
      <c r="B22" s="20">
        <v>19185</v>
      </c>
      <c r="C22" s="21">
        <f>B10</f>
        <v>33</v>
      </c>
      <c r="D22" s="20">
        <f>B22*C22</f>
        <v>633105</v>
      </c>
      <c r="E22" s="40">
        <f>D22/B$9/B$4/12/C22</f>
        <v>0.32297979797979798</v>
      </c>
      <c r="F22" s="25"/>
    </row>
    <row r="23" spans="1:9" ht="15" customHeight="1" x14ac:dyDescent="0.2">
      <c r="A23" s="19" t="s">
        <v>139</v>
      </c>
      <c r="B23" s="20">
        <f>B22*1%</f>
        <v>191.85</v>
      </c>
      <c r="C23" s="21"/>
      <c r="D23" s="20">
        <f>D22*1%</f>
        <v>6331.05</v>
      </c>
      <c r="E23" s="40">
        <f>D23/C22/B$9/B$4/12</f>
        <v>3.2297979797979797E-3</v>
      </c>
      <c r="F23" s="25"/>
    </row>
    <row r="24" spans="1:9" ht="15" customHeight="1" x14ac:dyDescent="0.2">
      <c r="A24" s="19" t="s">
        <v>111</v>
      </c>
      <c r="B24" s="20">
        <f>B22*7%</f>
        <v>1342.95</v>
      </c>
      <c r="C24" s="21"/>
      <c r="D24" s="20">
        <f>D22*7%</f>
        <v>44317.350000000006</v>
      </c>
      <c r="E24" s="40">
        <f>D24/C22/B$9/B$4/12</f>
        <v>2.2608585858585866E-2</v>
      </c>
      <c r="F24" s="25"/>
    </row>
    <row r="25" spans="1:9" ht="15" customHeight="1" x14ac:dyDescent="0.2">
      <c r="A25" s="22" t="s">
        <v>50</v>
      </c>
      <c r="B25" s="23">
        <f>SUM(B22:B23)</f>
        <v>19376.849999999999</v>
      </c>
      <c r="C25" s="24"/>
      <c r="D25" s="23">
        <f>SUM(D22:D23)</f>
        <v>639436.05000000005</v>
      </c>
      <c r="E25" s="41">
        <f>SUM(E22:E24)</f>
        <v>0.34881818181818186</v>
      </c>
      <c r="F25" s="25"/>
    </row>
    <row r="26" spans="1:9" ht="15" customHeight="1" x14ac:dyDescent="0.2">
      <c r="A26" s="84" t="s">
        <v>166</v>
      </c>
      <c r="B26" s="88"/>
      <c r="C26" s="85" t="s">
        <v>42</v>
      </c>
      <c r="D26" s="86">
        <f>B33*E7</f>
        <v>462691.43321739131</v>
      </c>
      <c r="E26" s="87"/>
      <c r="F26" s="25"/>
    </row>
    <row r="27" spans="1:9" ht="15" customHeight="1" x14ac:dyDescent="0.2">
      <c r="A27" s="107" t="s">
        <v>157</v>
      </c>
      <c r="B27" s="108"/>
      <c r="C27" s="108"/>
      <c r="D27" s="108"/>
      <c r="E27" s="108"/>
      <c r="F27" s="83"/>
      <c r="G27" s="74"/>
      <c r="H27" s="9"/>
      <c r="I27" s="25"/>
    </row>
    <row r="28" spans="1:9" ht="15" customHeight="1" x14ac:dyDescent="0.2">
      <c r="A28" s="18" t="s">
        <v>181</v>
      </c>
      <c r="B28" s="5"/>
      <c r="C28" s="56" t="s">
        <v>42</v>
      </c>
      <c r="D28" s="97">
        <f>E8</f>
        <v>396910.55250000005</v>
      </c>
      <c r="E28" s="5"/>
      <c r="F28" s="6">
        <v>2.8986086956521735</v>
      </c>
      <c r="G28" s="9"/>
    </row>
    <row r="29" spans="1:9" ht="15" customHeight="1" x14ac:dyDescent="0.2">
      <c r="A29" s="18" t="s">
        <v>167</v>
      </c>
      <c r="B29" s="5"/>
      <c r="C29" s="56" t="s">
        <v>42</v>
      </c>
      <c r="D29" s="10">
        <f>B33*E9</f>
        <v>508960.57653913042</v>
      </c>
      <c r="E29" s="5"/>
      <c r="F29" s="6">
        <v>45.79710144927536</v>
      </c>
      <c r="G29" s="9"/>
    </row>
    <row r="30" spans="1:9" ht="15" customHeight="1" x14ac:dyDescent="0.2">
      <c r="A30" s="18" t="s">
        <v>168</v>
      </c>
      <c r="B30" s="5"/>
      <c r="C30" s="56" t="s">
        <v>42</v>
      </c>
      <c r="D30" s="10">
        <f>B33*E10</f>
        <v>277614.85993043473</v>
      </c>
      <c r="E30" s="5"/>
      <c r="F30" s="6">
        <v>14.492753623188406</v>
      </c>
      <c r="G30" s="7"/>
    </row>
    <row r="31" spans="1:9" x14ac:dyDescent="0.2">
      <c r="A31" s="106" t="s">
        <v>158</v>
      </c>
      <c r="B31" s="106"/>
      <c r="C31" s="106"/>
      <c r="D31" s="73">
        <f>SUM(D28:D30)</f>
        <v>1183485.9889695651</v>
      </c>
      <c r="I31" s="74">
        <v>269.91021652173907</v>
      </c>
    </row>
    <row r="32" spans="1:9" x14ac:dyDescent="0.2">
      <c r="A32" s="89"/>
      <c r="B32" s="89"/>
      <c r="C32" s="89"/>
      <c r="D32" s="26"/>
    </row>
    <row r="33" spans="1:8" x14ac:dyDescent="0.2">
      <c r="A33" s="83" t="s">
        <v>169</v>
      </c>
      <c r="B33" s="26">
        <f>100*D18/23</f>
        <v>4626914.3321739128</v>
      </c>
    </row>
    <row r="34" spans="1:8" x14ac:dyDescent="0.2">
      <c r="A34" s="83" t="s">
        <v>170</v>
      </c>
      <c r="B34" s="26">
        <f>100*D25/20</f>
        <v>3197180.2500000005</v>
      </c>
    </row>
    <row r="36" spans="1:8" ht="15.75" x14ac:dyDescent="0.25">
      <c r="A36" s="1" t="s">
        <v>161</v>
      </c>
      <c r="B36" s="2"/>
      <c r="C36" s="2"/>
      <c r="D36" s="2"/>
      <c r="E36" s="2"/>
      <c r="F36" s="2"/>
      <c r="G36" s="2"/>
      <c r="H36" s="2"/>
    </row>
    <row r="37" spans="1:8" ht="15.75" x14ac:dyDescent="0.25">
      <c r="A37" t="s">
        <v>143</v>
      </c>
      <c r="B37" s="2"/>
      <c r="C37" s="2"/>
      <c r="D37" t="s">
        <v>146</v>
      </c>
      <c r="E37" s="2"/>
      <c r="F37" s="2"/>
      <c r="G37" s="2"/>
      <c r="H37" s="2"/>
    </row>
    <row r="38" spans="1:8" ht="15" x14ac:dyDescent="0.25">
      <c r="A38" t="s">
        <v>65</v>
      </c>
      <c r="B38" s="76" t="s">
        <v>144</v>
      </c>
      <c r="D38" t="s">
        <v>145</v>
      </c>
      <c r="E38" s="79" t="s">
        <v>149</v>
      </c>
    </row>
    <row r="39" spans="1:8" ht="15.75" x14ac:dyDescent="0.25">
      <c r="A39" s="1" t="s">
        <v>45</v>
      </c>
      <c r="B39" s="75">
        <v>24.75</v>
      </c>
      <c r="D39" t="s">
        <v>179</v>
      </c>
      <c r="E39" s="72">
        <v>4033.5</v>
      </c>
    </row>
    <row r="40" spans="1:8" ht="15.75" x14ac:dyDescent="0.25">
      <c r="A40" s="1" t="s">
        <v>134</v>
      </c>
      <c r="B40" s="76">
        <v>668</v>
      </c>
      <c r="D40" t="s">
        <v>147</v>
      </c>
      <c r="E40" s="72">
        <v>66048.322408722117</v>
      </c>
    </row>
    <row r="41" spans="1:8" ht="15.75" x14ac:dyDescent="0.25">
      <c r="A41" s="1" t="s">
        <v>46</v>
      </c>
      <c r="B41" s="76">
        <v>500</v>
      </c>
      <c r="D41" t="s">
        <v>148</v>
      </c>
      <c r="E41" s="72">
        <v>19185</v>
      </c>
    </row>
    <row r="42" spans="1:8" ht="15.75" x14ac:dyDescent="0.25">
      <c r="A42" s="1" t="s">
        <v>53</v>
      </c>
      <c r="B42" s="77">
        <v>41.1</v>
      </c>
      <c r="D42" t="s">
        <v>172</v>
      </c>
      <c r="E42" s="91">
        <v>7.0000000000000007E-2</v>
      </c>
    </row>
    <row r="43" spans="1:8" ht="15.75" x14ac:dyDescent="0.25">
      <c r="A43" s="1" t="s">
        <v>101</v>
      </c>
      <c r="B43" s="76">
        <v>1374</v>
      </c>
      <c r="D43" t="s">
        <v>180</v>
      </c>
      <c r="E43" s="26">
        <f>(273594.48+46760)*B39</f>
        <v>7928773.3799999999</v>
      </c>
    </row>
    <row r="44" spans="1:8" ht="15.75" x14ac:dyDescent="0.25">
      <c r="A44" s="1" t="s">
        <v>49</v>
      </c>
      <c r="B44" s="76">
        <v>200</v>
      </c>
      <c r="D44" t="s">
        <v>163</v>
      </c>
      <c r="E44" s="80">
        <v>7.0000000000000007E-2</v>
      </c>
    </row>
    <row r="45" spans="1:8" ht="15.75" x14ac:dyDescent="0.25">
      <c r="A45" s="1" t="s">
        <v>52</v>
      </c>
      <c r="B45" s="76">
        <v>499</v>
      </c>
      <c r="D45" t="s">
        <v>164</v>
      </c>
      <c r="E45" s="80">
        <v>0.03</v>
      </c>
    </row>
    <row r="46" spans="1:8" ht="15.75" x14ac:dyDescent="0.25">
      <c r="A46" s="1" t="s">
        <v>132</v>
      </c>
      <c r="B46" s="76">
        <v>11500</v>
      </c>
      <c r="D46" t="s">
        <v>153</v>
      </c>
      <c r="E46" s="81">
        <f>((0.3/3.5)/16)</f>
        <v>5.3571428571428572E-3</v>
      </c>
      <c r="F46" t="s">
        <v>154</v>
      </c>
    </row>
    <row r="47" spans="1:8" ht="15.75" x14ac:dyDescent="0.25">
      <c r="A47" s="1" t="s">
        <v>136</v>
      </c>
      <c r="B47" s="76">
        <v>177</v>
      </c>
      <c r="D47" t="s">
        <v>159</v>
      </c>
      <c r="E47" s="80">
        <f>((137/384)/5)</f>
        <v>7.1354166666666663E-2</v>
      </c>
      <c r="F47" t="s">
        <v>155</v>
      </c>
    </row>
    <row r="49" spans="1:5" x14ac:dyDescent="0.2">
      <c r="A49" s="11" t="s">
        <v>39</v>
      </c>
      <c r="B49" s="3" t="s">
        <v>40</v>
      </c>
      <c r="C49" s="3" t="s">
        <v>41</v>
      </c>
      <c r="D49" s="3" t="s">
        <v>44</v>
      </c>
      <c r="E49" s="3" t="s">
        <v>51</v>
      </c>
    </row>
    <row r="50" spans="1:5" x14ac:dyDescent="0.2">
      <c r="A50" s="12" t="s">
        <v>178</v>
      </c>
      <c r="B50" s="13">
        <v>4033.06</v>
      </c>
      <c r="C50" s="14">
        <f>B43</f>
        <v>1374</v>
      </c>
      <c r="D50" s="13">
        <f>B50*C50</f>
        <v>5541424.4399999995</v>
      </c>
      <c r="E50" s="13">
        <f>D50/C50/B$6/B$4</f>
        <v>0.32590383838383835</v>
      </c>
    </row>
    <row r="51" spans="1:5" x14ac:dyDescent="0.2">
      <c r="A51" s="12" t="s">
        <v>47</v>
      </c>
      <c r="B51" s="13">
        <f>21%*B50</f>
        <v>846.94259999999997</v>
      </c>
      <c r="C51" s="14"/>
      <c r="D51" s="13">
        <f>21%*D50</f>
        <v>1163699.1323999998</v>
      </c>
      <c r="E51" s="35">
        <f>21%*E50</f>
        <v>6.8439806060606054E-2</v>
      </c>
    </row>
    <row r="52" spans="1:5" x14ac:dyDescent="0.2">
      <c r="A52" s="12" t="s">
        <v>138</v>
      </c>
      <c r="B52" s="13">
        <f>180*B39</f>
        <v>4455</v>
      </c>
      <c r="C52" s="14">
        <f>B43</f>
        <v>1374</v>
      </c>
      <c r="D52" s="13">
        <f>B52*C52</f>
        <v>6121170</v>
      </c>
      <c r="E52" s="13">
        <f>D52/C52/B$6/B$4</f>
        <v>0.36</v>
      </c>
    </row>
    <row r="53" spans="1:5" x14ac:dyDescent="0.2">
      <c r="A53" s="15" t="s">
        <v>48</v>
      </c>
      <c r="B53" s="16">
        <f>SUM(B50:B52)</f>
        <v>9335.0025999999998</v>
      </c>
      <c r="C53" s="17"/>
      <c r="D53" s="16">
        <f>SUM(D50:D52)</f>
        <v>12826293.5724</v>
      </c>
      <c r="E53" s="16">
        <f>SUM(E50:E52)</f>
        <v>0.75434364444444446</v>
      </c>
    </row>
    <row r="54" spans="1:5" x14ac:dyDescent="0.2">
      <c r="A54" s="4" t="s">
        <v>130</v>
      </c>
      <c r="B54" s="5">
        <f>'Costo por componente'!I6*1.15*B39</f>
        <v>75955.570770030419</v>
      </c>
      <c r="C54" s="8">
        <f>ROUNDUP(B43/40,0)</f>
        <v>35</v>
      </c>
      <c r="D54" s="5">
        <f>C54*B54</f>
        <v>2658444.9769510645</v>
      </c>
      <c r="E54" s="53">
        <f>D54/B$11/B$4/C54</f>
        <v>0.26686190872210952</v>
      </c>
    </row>
    <row r="55" spans="1:5" x14ac:dyDescent="0.2">
      <c r="A55" s="4" t="s">
        <v>131</v>
      </c>
      <c r="B55" s="5">
        <f>B54*1%</f>
        <v>759.5557077003042</v>
      </c>
      <c r="C55" s="8"/>
      <c r="D55" s="55">
        <f>D54*1%</f>
        <v>26584.449769510647</v>
      </c>
      <c r="E55" s="54">
        <f>E54*1%</f>
        <v>2.668619087221095E-3</v>
      </c>
    </row>
    <row r="56" spans="1:5" x14ac:dyDescent="0.2">
      <c r="A56" s="18" t="s">
        <v>133</v>
      </c>
      <c r="B56" s="10">
        <f>SUM(B54:B55)</f>
        <v>76715.126477730722</v>
      </c>
      <c r="C56" s="56"/>
      <c r="D56" s="57">
        <f>SUM(D54:D55)</f>
        <v>2685029.426720575</v>
      </c>
      <c r="E56" s="58">
        <f>SUM(E54:E55)</f>
        <v>0.26953052780933062</v>
      </c>
    </row>
    <row r="57" spans="1:5" x14ac:dyDescent="0.2">
      <c r="A57" s="19" t="s">
        <v>156</v>
      </c>
      <c r="B57" s="20">
        <v>19185</v>
      </c>
      <c r="C57" s="21">
        <f>B45</f>
        <v>499</v>
      </c>
      <c r="D57" s="20">
        <f>B57*C57</f>
        <v>9573315</v>
      </c>
      <c r="E57" s="40">
        <f>D57/B$9/B$4/12/C57</f>
        <v>0.32297979797979792</v>
      </c>
    </row>
    <row r="58" spans="1:5" x14ac:dyDescent="0.2">
      <c r="A58" s="19" t="s">
        <v>139</v>
      </c>
      <c r="B58" s="20">
        <f>B57*1%</f>
        <v>191.85</v>
      </c>
      <c r="C58" s="21"/>
      <c r="D58" s="20">
        <f>D57*1%</f>
        <v>95733.150000000009</v>
      </c>
      <c r="E58" s="40">
        <f>D58/C57/B$9/B$4/12</f>
        <v>3.2297979797979801E-3</v>
      </c>
    </row>
    <row r="59" spans="1:5" x14ac:dyDescent="0.2">
      <c r="A59" s="19" t="s">
        <v>111</v>
      </c>
      <c r="B59" s="20">
        <f>B57*7%</f>
        <v>1342.95</v>
      </c>
      <c r="C59" s="21"/>
      <c r="D59" s="20">
        <f>D57*7%</f>
        <v>670132.05000000005</v>
      </c>
      <c r="E59" s="40">
        <f>D59/C57/B$9/B$4/12</f>
        <v>2.2608585858585859E-2</v>
      </c>
    </row>
    <row r="60" spans="1:5" x14ac:dyDescent="0.2">
      <c r="A60" s="22" t="s">
        <v>50</v>
      </c>
      <c r="B60" s="23">
        <f>SUM(B57:B58)</f>
        <v>19376.849999999999</v>
      </c>
      <c r="C60" s="24"/>
      <c r="D60" s="23">
        <f>SUM(D57:D58)</f>
        <v>9669048.1500000004</v>
      </c>
      <c r="E60" s="41">
        <f>SUM(E57:E59)</f>
        <v>0.34881818181818181</v>
      </c>
    </row>
    <row r="61" spans="1:5" x14ac:dyDescent="0.2">
      <c r="A61" s="84" t="s">
        <v>171</v>
      </c>
      <c r="B61" s="88"/>
      <c r="C61" s="85" t="s">
        <v>42</v>
      </c>
      <c r="D61" s="86">
        <f>B68*E42</f>
        <v>3903654.5655130441</v>
      </c>
      <c r="E61" s="87"/>
    </row>
    <row r="62" spans="1:5" x14ac:dyDescent="0.2">
      <c r="A62" s="107" t="s">
        <v>157</v>
      </c>
      <c r="B62" s="108"/>
      <c r="C62" s="108"/>
      <c r="D62" s="108"/>
      <c r="E62" s="109"/>
    </row>
    <row r="63" spans="1:5" x14ac:dyDescent="0.2">
      <c r="A63" s="96" t="s">
        <v>182</v>
      </c>
      <c r="B63" s="5"/>
      <c r="C63" s="56" t="s">
        <v>42</v>
      </c>
      <c r="D63" s="10">
        <f>E43</f>
        <v>7928773.3799999999</v>
      </c>
      <c r="E63" s="5"/>
    </row>
    <row r="64" spans="1:5" x14ac:dyDescent="0.2">
      <c r="A64" s="18" t="s">
        <v>174</v>
      </c>
      <c r="B64" s="5"/>
      <c r="C64" s="56" t="s">
        <v>42</v>
      </c>
      <c r="D64" s="57">
        <f>B68*E44</f>
        <v>3903654.5655130441</v>
      </c>
      <c r="E64" s="5"/>
    </row>
    <row r="65" spans="1:5" x14ac:dyDescent="0.2">
      <c r="A65" s="18" t="s">
        <v>173</v>
      </c>
      <c r="B65" s="5"/>
      <c r="C65" s="56" t="s">
        <v>42</v>
      </c>
      <c r="D65" s="57">
        <f>B68*E45</f>
        <v>1672994.8137913044</v>
      </c>
      <c r="E65" s="5"/>
    </row>
    <row r="66" spans="1:5" x14ac:dyDescent="0.2">
      <c r="A66" s="106" t="s">
        <v>158</v>
      </c>
      <c r="B66" s="106"/>
      <c r="C66" s="106"/>
      <c r="D66" s="73">
        <f>SUM(D63:D65)</f>
        <v>13505422.759304348</v>
      </c>
    </row>
    <row r="68" spans="1:5" x14ac:dyDescent="0.2">
      <c r="A68" s="83" t="s">
        <v>169</v>
      </c>
      <c r="B68" s="26">
        <f>100*D53/23</f>
        <v>55766493.793043479</v>
      </c>
    </row>
    <row r="69" spans="1:5" x14ac:dyDescent="0.2">
      <c r="A69" s="83" t="s">
        <v>170</v>
      </c>
      <c r="B69" s="26">
        <f>100*D60/20</f>
        <v>48345240.75</v>
      </c>
    </row>
  </sheetData>
  <mergeCells count="4">
    <mergeCell ref="A27:E27"/>
    <mergeCell ref="A62:E62"/>
    <mergeCell ref="A66:C66"/>
    <mergeCell ref="A31:C31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E83C0-D98F-4484-8116-13CE44BCFCF2}">
  <dimension ref="E2:F54"/>
  <sheetViews>
    <sheetView workbookViewId="0">
      <selection activeCell="D12" sqref="D12"/>
    </sheetView>
  </sheetViews>
  <sheetFormatPr baseColWidth="10" defaultRowHeight="12.75" x14ac:dyDescent="0.2"/>
  <sheetData>
    <row r="2" spans="5:6" x14ac:dyDescent="0.2">
      <c r="E2" t="s">
        <v>187</v>
      </c>
    </row>
    <row r="3" spans="5:6" x14ac:dyDescent="0.2">
      <c r="E3" t="s">
        <v>185</v>
      </c>
      <c r="F3" t="s">
        <v>186</v>
      </c>
    </row>
    <row r="4" spans="5:6" x14ac:dyDescent="0.2">
      <c r="E4">
        <v>0</v>
      </c>
      <c r="F4">
        <v>0.13100000000000001</v>
      </c>
    </row>
    <row r="5" spans="5:6" x14ac:dyDescent="0.2">
      <c r="E5">
        <v>1</v>
      </c>
      <c r="F5">
        <v>0.114</v>
      </c>
    </row>
    <row r="6" spans="5:6" x14ac:dyDescent="0.2">
      <c r="E6">
        <v>2</v>
      </c>
      <c r="F6">
        <v>0.114</v>
      </c>
    </row>
    <row r="7" spans="5:6" x14ac:dyDescent="0.2">
      <c r="E7">
        <v>3</v>
      </c>
      <c r="F7">
        <v>0.114</v>
      </c>
    </row>
    <row r="8" spans="5:6" x14ac:dyDescent="0.2">
      <c r="E8">
        <v>4</v>
      </c>
      <c r="F8">
        <v>0.39200000000000002</v>
      </c>
    </row>
    <row r="9" spans="5:6" x14ac:dyDescent="0.2">
      <c r="E9">
        <v>5</v>
      </c>
      <c r="F9">
        <v>0.6</v>
      </c>
    </row>
    <row r="10" spans="5:6" x14ac:dyDescent="0.2">
      <c r="E10">
        <v>6</v>
      </c>
      <c r="F10">
        <v>0.66</v>
      </c>
    </row>
    <row r="11" spans="5:6" x14ac:dyDescent="0.2">
      <c r="E11">
        <v>7</v>
      </c>
      <c r="F11">
        <v>0.6</v>
      </c>
    </row>
    <row r="12" spans="5:6" x14ac:dyDescent="0.2">
      <c r="E12">
        <v>8</v>
      </c>
      <c r="F12">
        <v>0.6</v>
      </c>
    </row>
    <row r="13" spans="5:6" x14ac:dyDescent="0.2">
      <c r="E13">
        <v>9</v>
      </c>
      <c r="F13">
        <v>0.6</v>
      </c>
    </row>
    <row r="14" spans="5:6" x14ac:dyDescent="0.2">
      <c r="E14">
        <v>10</v>
      </c>
      <c r="F14">
        <v>0.59399999999999997</v>
      </c>
    </row>
    <row r="15" spans="5:6" x14ac:dyDescent="0.2">
      <c r="E15">
        <v>11</v>
      </c>
      <c r="F15">
        <v>0.64</v>
      </c>
    </row>
    <row r="16" spans="5:6" x14ac:dyDescent="0.2">
      <c r="E16">
        <v>12</v>
      </c>
      <c r="F16">
        <v>0.82899999999999996</v>
      </c>
    </row>
    <row r="17" spans="5:6" x14ac:dyDescent="0.2">
      <c r="E17">
        <v>13</v>
      </c>
      <c r="F17">
        <v>0.623</v>
      </c>
    </row>
    <row r="18" spans="5:6" x14ac:dyDescent="0.2">
      <c r="E18">
        <v>14</v>
      </c>
      <c r="F18">
        <v>0.6</v>
      </c>
    </row>
    <row r="19" spans="5:6" x14ac:dyDescent="0.2">
      <c r="E19">
        <v>15</v>
      </c>
      <c r="F19">
        <v>0.6</v>
      </c>
    </row>
    <row r="20" spans="5:6" x14ac:dyDescent="0.2">
      <c r="E20">
        <v>16</v>
      </c>
      <c r="F20">
        <v>0.6</v>
      </c>
    </row>
    <row r="21" spans="5:6" x14ac:dyDescent="0.2">
      <c r="E21">
        <v>17</v>
      </c>
      <c r="F21">
        <v>0.79</v>
      </c>
    </row>
    <row r="22" spans="5:6" x14ac:dyDescent="0.2">
      <c r="E22">
        <v>18</v>
      </c>
      <c r="F22">
        <v>1.4770000000000001</v>
      </c>
    </row>
    <row r="23" spans="5:6" x14ac:dyDescent="0.2">
      <c r="E23">
        <v>19</v>
      </c>
      <c r="F23">
        <v>1.204</v>
      </c>
    </row>
    <row r="24" spans="5:6" x14ac:dyDescent="0.2">
      <c r="E24">
        <v>20</v>
      </c>
      <c r="F24">
        <v>0.81100000000000005</v>
      </c>
    </row>
    <row r="25" spans="5:6" x14ac:dyDescent="0.2">
      <c r="E25">
        <v>21</v>
      </c>
      <c r="F25">
        <v>0.57599999999999996</v>
      </c>
    </row>
    <row r="26" spans="5:6" x14ac:dyDescent="0.2">
      <c r="E26">
        <v>22</v>
      </c>
      <c r="F26">
        <v>0.36</v>
      </c>
    </row>
    <row r="27" spans="5:6" x14ac:dyDescent="0.2">
      <c r="E27">
        <v>23</v>
      </c>
      <c r="F27">
        <v>0.245</v>
      </c>
    </row>
    <row r="31" spans="5:6" x14ac:dyDescent="0.2">
      <c r="E31" s="111"/>
      <c r="F31" s="111"/>
    </row>
    <row r="32" spans="5:6" x14ac:dyDescent="0.2">
      <c r="E32" s="111"/>
      <c r="F32" s="111"/>
    </row>
    <row r="33" spans="5:6" x14ac:dyDescent="0.2">
      <c r="E33" s="111"/>
      <c r="F33" s="111"/>
    </row>
    <row r="34" spans="5:6" x14ac:dyDescent="0.2">
      <c r="E34" s="111"/>
      <c r="F34" s="111"/>
    </row>
    <row r="35" spans="5:6" x14ac:dyDescent="0.2">
      <c r="E35" s="111"/>
      <c r="F35" s="111"/>
    </row>
    <row r="36" spans="5:6" x14ac:dyDescent="0.2">
      <c r="E36" s="111"/>
      <c r="F36" s="111"/>
    </row>
    <row r="37" spans="5:6" x14ac:dyDescent="0.2">
      <c r="E37" s="111"/>
      <c r="F37" s="111"/>
    </row>
    <row r="38" spans="5:6" x14ac:dyDescent="0.2">
      <c r="E38" s="111"/>
      <c r="F38" s="111"/>
    </row>
    <row r="39" spans="5:6" x14ac:dyDescent="0.2">
      <c r="E39" s="111"/>
      <c r="F39" s="111"/>
    </row>
    <row r="40" spans="5:6" x14ac:dyDescent="0.2">
      <c r="E40" s="111"/>
      <c r="F40" s="111"/>
    </row>
    <row r="41" spans="5:6" x14ac:dyDescent="0.2">
      <c r="E41" s="111"/>
      <c r="F41" s="111"/>
    </row>
    <row r="42" spans="5:6" x14ac:dyDescent="0.2">
      <c r="E42" s="111"/>
      <c r="F42" s="111"/>
    </row>
    <row r="43" spans="5:6" x14ac:dyDescent="0.2">
      <c r="E43" s="111"/>
      <c r="F43" s="111"/>
    </row>
    <row r="44" spans="5:6" x14ac:dyDescent="0.2">
      <c r="E44" s="111"/>
      <c r="F44" s="111"/>
    </row>
    <row r="45" spans="5:6" x14ac:dyDescent="0.2">
      <c r="E45" s="111"/>
      <c r="F45" s="111"/>
    </row>
    <row r="46" spans="5:6" x14ac:dyDescent="0.2">
      <c r="E46" s="111"/>
      <c r="F46" s="111"/>
    </row>
    <row r="47" spans="5:6" x14ac:dyDescent="0.2">
      <c r="E47" s="111"/>
      <c r="F47" s="111"/>
    </row>
    <row r="48" spans="5:6" x14ac:dyDescent="0.2">
      <c r="E48" s="111"/>
      <c r="F48" s="111"/>
    </row>
    <row r="49" spans="5:6" x14ac:dyDescent="0.2">
      <c r="E49" s="111"/>
      <c r="F49" s="111"/>
    </row>
    <row r="50" spans="5:6" x14ac:dyDescent="0.2">
      <c r="E50" s="111"/>
      <c r="F50" s="111"/>
    </row>
    <row r="51" spans="5:6" x14ac:dyDescent="0.2">
      <c r="E51" s="111"/>
      <c r="F51" s="111"/>
    </row>
    <row r="52" spans="5:6" x14ac:dyDescent="0.2">
      <c r="E52" s="111"/>
      <c r="F52" s="111"/>
    </row>
    <row r="53" spans="5:6" x14ac:dyDescent="0.2">
      <c r="E53" s="111"/>
      <c r="F53" s="111"/>
    </row>
    <row r="54" spans="5:6" x14ac:dyDescent="0.2">
      <c r="E54" s="111"/>
      <c r="F54" s="11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Costo por componente</vt:lpstr>
      <vt:lpstr>Costos unitarios</vt:lpstr>
      <vt:lpstr>Con valor Unitario</vt:lpstr>
      <vt:lpstr>Con % del costo</vt:lpstr>
      <vt:lpstr>Curva de demanda</vt:lpstr>
    </vt:vector>
  </TitlesOfParts>
  <Company>Nicolas Stern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Título del Informe/Documento</dc:title>
  <dc:subject/>
  <dc:creator>PDF Converter</dc:creator>
  <cp:lastModifiedBy>REI</cp:lastModifiedBy>
  <dcterms:created xsi:type="dcterms:W3CDTF">2022-11-26T11:59:17Z</dcterms:created>
  <dcterms:modified xsi:type="dcterms:W3CDTF">2022-12-19T19:08:56Z</dcterms:modified>
</cp:coreProperties>
</file>