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ASISTENTE ANED\2022\1. CONSULTORIAS EN EJECUCIÓN 2022\12_SEN 2022\_Productos FINALES SEN_Entrega\PRODUCTO 5 PAMUPE\Apendice\Perfiles de proyectos PAMUPE\Caja de Herramientas de cálculo\"/>
    </mc:Choice>
  </mc:AlternateContent>
  <xr:revisionPtr revIDLastSave="0" documentId="13_ncr:1_{8574922E-408B-4D19-969D-732786B250AC}" xr6:coauthVersionLast="47" xr6:coauthVersionMax="47" xr10:uidLastSave="{00000000-0000-0000-0000-000000000000}"/>
  <bookViews>
    <workbookView xWindow="585" yWindow="0" windowWidth="22635" windowHeight="15600" xr2:uid="{00000000-000D-0000-FFFF-FFFF00000000}"/>
  </bookViews>
  <sheets>
    <sheet name="Hoja1" sheetId="9" r:id="rId1"/>
    <sheet name="Inversion" sheetId="1" r:id="rId2"/>
    <sheet name="Egresos" sheetId="2" r:id="rId3"/>
    <sheet name="Ingresos " sheetId="3" r:id="rId4"/>
    <sheet name="Servicio de la deuda" sheetId="7" r:id="rId5"/>
    <sheet name="Flujo de caja" sheetId="4" r:id="rId6"/>
    <sheet name="Estados financiero" sheetId="5" r:id="rId7"/>
    <sheet name="Escenario" sheetId="6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4" l="1"/>
  <c r="L8" i="4"/>
  <c r="C5" i="4"/>
  <c r="C5" i="5" s="1"/>
  <c r="N4" i="4"/>
  <c r="V4" i="4" s="1"/>
  <c r="K12" i="5"/>
  <c r="C12" i="5"/>
  <c r="F24" i="1"/>
  <c r="G24" i="1" s="1"/>
  <c r="G25" i="1" s="1"/>
  <c r="C13" i="5" s="1"/>
  <c r="W9" i="4"/>
  <c r="X9" i="4" s="1"/>
  <c r="Y9" i="4" s="1"/>
  <c r="Z9" i="4" s="1"/>
  <c r="O9" i="4"/>
  <c r="L12" i="5" s="1"/>
  <c r="D10" i="4"/>
  <c r="E10" i="4" s="1"/>
  <c r="F10" i="4" s="1"/>
  <c r="G10" i="4" s="1"/>
  <c r="G12" i="5" s="1"/>
  <c r="D8" i="4"/>
  <c r="E8" i="4" s="1"/>
  <c r="C9" i="4"/>
  <c r="D9" i="4" s="1"/>
  <c r="E10" i="3"/>
  <c r="E11" i="3"/>
  <c r="F11" i="3" s="1"/>
  <c r="G11" i="3" s="1"/>
  <c r="H11" i="3" s="1"/>
  <c r="O13" i="5"/>
  <c r="W13" i="5" s="1"/>
  <c r="N13" i="5"/>
  <c r="V13" i="5" s="1"/>
  <c r="M13" i="5"/>
  <c r="U13" i="5" s="1"/>
  <c r="L13" i="5"/>
  <c r="T13" i="5" s="1"/>
  <c r="H11" i="5"/>
  <c r="S12" i="5"/>
  <c r="T12" i="5" s="1"/>
  <c r="W3" i="4"/>
  <c r="X3" i="4" s="1"/>
  <c r="Y3" i="4" s="1"/>
  <c r="Z3" i="4" s="1"/>
  <c r="O11" i="5"/>
  <c r="W11" i="5" s="1"/>
  <c r="N11" i="5"/>
  <c r="V11" i="5" s="1"/>
  <c r="M11" i="5"/>
  <c r="U11" i="5" s="1"/>
  <c r="L11" i="5"/>
  <c r="T11" i="5" s="1"/>
  <c r="K11" i="5"/>
  <c r="O3" i="4"/>
  <c r="P3" i="4" s="1"/>
  <c r="Q3" i="4" s="1"/>
  <c r="R3" i="4" s="1"/>
  <c r="N7" i="4"/>
  <c r="C9" i="5" s="1"/>
  <c r="D4" i="4"/>
  <c r="E4" i="4" s="1"/>
  <c r="F4" i="4" s="1"/>
  <c r="G4" i="4" s="1"/>
  <c r="D12" i="3"/>
  <c r="R10" i="3"/>
  <c r="F8" i="2"/>
  <c r="K8" i="2"/>
  <c r="M8" i="2" s="1"/>
  <c r="F15" i="2"/>
  <c r="F14" i="2"/>
  <c r="I14" i="2"/>
  <c r="F13" i="2"/>
  <c r="F12" i="2"/>
  <c r="F11" i="2"/>
  <c r="F10" i="2"/>
  <c r="F9" i="2"/>
  <c r="H9" i="2" s="1"/>
  <c r="J9" i="2" s="1"/>
  <c r="J12" i="2"/>
  <c r="J14" i="2" s="1"/>
  <c r="G9" i="1"/>
  <c r="G8" i="1"/>
  <c r="G10" i="1" s="1"/>
  <c r="C7" i="7" s="1"/>
  <c r="C14" i="7" s="1"/>
  <c r="P11" i="5" l="1"/>
  <c r="P9" i="4"/>
  <c r="Q9" i="4" s="1"/>
  <c r="R9" i="4" s="1"/>
  <c r="O12" i="5" s="1"/>
  <c r="K13" i="5"/>
  <c r="P13" i="5" s="1"/>
  <c r="H13" i="5"/>
  <c r="E9" i="4"/>
  <c r="D10" i="5"/>
  <c r="L10" i="5" s="1"/>
  <c r="T10" i="5" s="1"/>
  <c r="K9" i="2"/>
  <c r="L9" i="2"/>
  <c r="S11" i="5"/>
  <c r="X11" i="5" s="1"/>
  <c r="C10" i="5"/>
  <c r="K10" i="5" s="1"/>
  <c r="S10" i="5" s="1"/>
  <c r="N8" i="4"/>
  <c r="O8" i="4" s="1"/>
  <c r="P8" i="4" s="1"/>
  <c r="Q8" i="4" s="1"/>
  <c r="R8" i="4" s="1"/>
  <c r="F10" i="3"/>
  <c r="G10" i="3" s="1"/>
  <c r="H10" i="3" s="1"/>
  <c r="F12" i="5"/>
  <c r="U12" i="5"/>
  <c r="V12" i="5" s="1"/>
  <c r="W12" i="5" s="1"/>
  <c r="M12" i="5"/>
  <c r="N12" i="5"/>
  <c r="D12" i="5"/>
  <c r="E12" i="5"/>
  <c r="S13" i="5"/>
  <c r="X13" i="5" s="1"/>
  <c r="O7" i="4"/>
  <c r="D9" i="5" s="1"/>
  <c r="L9" i="5" s="1"/>
  <c r="P7" i="4"/>
  <c r="E9" i="5" s="1"/>
  <c r="F8" i="4"/>
  <c r="E12" i="3"/>
  <c r="V7" i="4"/>
  <c r="K9" i="5"/>
  <c r="K5" i="5"/>
  <c r="S5" i="5" s="1"/>
  <c r="S6" i="5" s="1"/>
  <c r="C6" i="5"/>
  <c r="E14" i="7"/>
  <c r="D14" i="7"/>
  <c r="D15" i="7" s="1"/>
  <c r="D16" i="7" s="1"/>
  <c r="D17" i="7" s="1"/>
  <c r="D18" i="7" s="1"/>
  <c r="F16" i="2"/>
  <c r="N8" i="2"/>
  <c r="M9" i="2"/>
  <c r="O9" i="2" s="1"/>
  <c r="K12" i="2"/>
  <c r="J13" i="2"/>
  <c r="J15" i="2" s="1"/>
  <c r="J16" i="2" s="1"/>
  <c r="H12" i="5" l="1"/>
  <c r="I10" i="3"/>
  <c r="F9" i="4"/>
  <c r="E10" i="5"/>
  <c r="D5" i="4"/>
  <c r="D5" i="5" s="1"/>
  <c r="D6" i="5" s="1"/>
  <c r="L6" i="5" s="1"/>
  <c r="O4" i="4"/>
  <c r="W4" i="4" s="1"/>
  <c r="M9" i="5"/>
  <c r="U9" i="5" s="1"/>
  <c r="H18" i="2"/>
  <c r="H19" i="2" s="1"/>
  <c r="C8" i="5"/>
  <c r="F17" i="2"/>
  <c r="C7" i="4"/>
  <c r="L7" i="4" s="1"/>
  <c r="X7" i="4"/>
  <c r="V8" i="4"/>
  <c r="K6" i="5"/>
  <c r="P12" i="5"/>
  <c r="G8" i="4"/>
  <c r="H8" i="4" s="1"/>
  <c r="Q7" i="4"/>
  <c r="F9" i="5" s="1"/>
  <c r="N9" i="5" s="1"/>
  <c r="S9" i="5"/>
  <c r="W8" i="4"/>
  <c r="T9" i="5"/>
  <c r="W7" i="4"/>
  <c r="C15" i="7"/>
  <c r="E15" i="7" s="1"/>
  <c r="F15" i="7" s="1"/>
  <c r="F14" i="7"/>
  <c r="G14" i="7"/>
  <c r="D19" i="7"/>
  <c r="AA9" i="4"/>
  <c r="H10" i="4"/>
  <c r="F12" i="3"/>
  <c r="L5" i="5" l="1"/>
  <c r="T5" i="5" s="1"/>
  <c r="L10" i="4"/>
  <c r="K7" i="4"/>
  <c r="F19" i="2"/>
  <c r="G15" i="7"/>
  <c r="D11" i="4"/>
  <c r="O10" i="4" s="1"/>
  <c r="D15" i="5"/>
  <c r="L16" i="5" s="1"/>
  <c r="M10" i="5"/>
  <c r="C16" i="7"/>
  <c r="G16" i="7" s="1"/>
  <c r="K8" i="5"/>
  <c r="D8" i="5"/>
  <c r="C7" i="5"/>
  <c r="C14" i="5" s="1"/>
  <c r="G9" i="4"/>
  <c r="G10" i="5" s="1"/>
  <c r="O10" i="5" s="1"/>
  <c r="W10" i="5" s="1"/>
  <c r="F10" i="5"/>
  <c r="N10" i="5" s="1"/>
  <c r="V10" i="5" s="1"/>
  <c r="J19" i="2"/>
  <c r="I19" i="2"/>
  <c r="V9" i="5"/>
  <c r="E5" i="4"/>
  <c r="P4" i="4"/>
  <c r="X4" i="4" s="1"/>
  <c r="C15" i="5"/>
  <c r="C11" i="4"/>
  <c r="C6" i="4" s="1"/>
  <c r="Y7" i="4"/>
  <c r="Z7" i="4" s="1"/>
  <c r="D7" i="4"/>
  <c r="N6" i="4"/>
  <c r="H9" i="4"/>
  <c r="R7" i="4"/>
  <c r="X8" i="4"/>
  <c r="E16" i="7"/>
  <c r="F16" i="7" s="1"/>
  <c r="C17" i="7"/>
  <c r="G12" i="3"/>
  <c r="H12" i="3"/>
  <c r="D6" i="4" l="1"/>
  <c r="D12" i="4" s="1"/>
  <c r="D13" i="4" s="1"/>
  <c r="D14" i="4" s="1"/>
  <c r="K9" i="4"/>
  <c r="K8" i="4"/>
  <c r="F5" i="4"/>
  <c r="F5" i="5" s="1"/>
  <c r="N5" i="5" s="1"/>
  <c r="Q4" i="4"/>
  <c r="U10" i="5"/>
  <c r="X10" i="5" s="1"/>
  <c r="P10" i="5"/>
  <c r="O6" i="4"/>
  <c r="V6" i="4"/>
  <c r="T16" i="5"/>
  <c r="T15" i="5" s="1"/>
  <c r="L15" i="5"/>
  <c r="E11" i="4"/>
  <c r="P10" i="4" s="1"/>
  <c r="E15" i="5"/>
  <c r="M16" i="5" s="1"/>
  <c r="AA7" i="4"/>
  <c r="E7" i="4"/>
  <c r="W10" i="4"/>
  <c r="D16" i="5"/>
  <c r="E5" i="5"/>
  <c r="E8" i="5"/>
  <c r="L8" i="5"/>
  <c r="D7" i="5"/>
  <c r="D14" i="5" s="1"/>
  <c r="S7" i="4"/>
  <c r="G9" i="5"/>
  <c r="N10" i="4"/>
  <c r="N5" i="4" s="1"/>
  <c r="N11" i="4" s="1"/>
  <c r="S8" i="5"/>
  <c r="S7" i="5" s="1"/>
  <c r="S14" i="5" s="1"/>
  <c r="K7" i="5"/>
  <c r="K14" i="5" s="1"/>
  <c r="R4" i="4"/>
  <c r="Z4" i="4" s="1"/>
  <c r="G5" i="4"/>
  <c r="G5" i="5" s="1"/>
  <c r="C12" i="4"/>
  <c r="H10" i="5"/>
  <c r="X12" i="5"/>
  <c r="Y8" i="4"/>
  <c r="T6" i="5"/>
  <c r="C18" i="7"/>
  <c r="G17" i="7"/>
  <c r="E17" i="7"/>
  <c r="F6" i="5" l="1"/>
  <c r="N6" i="5" s="1"/>
  <c r="N12" i="4"/>
  <c r="N13" i="4"/>
  <c r="N14" i="4" s="1"/>
  <c r="T8" i="5"/>
  <c r="T7" i="5" s="1"/>
  <c r="T14" i="5" s="1"/>
  <c r="T17" i="5" s="1"/>
  <c r="T19" i="5" s="1"/>
  <c r="T18" i="5" s="1"/>
  <c r="L7" i="5"/>
  <c r="L14" i="5" s="1"/>
  <c r="L17" i="5" s="1"/>
  <c r="F7" i="4"/>
  <c r="E6" i="4"/>
  <c r="H5" i="5"/>
  <c r="H5" i="4"/>
  <c r="U16" i="5"/>
  <c r="U15" i="5" s="1"/>
  <c r="M15" i="5"/>
  <c r="W6" i="4"/>
  <c r="V10" i="4"/>
  <c r="V5" i="4" s="1"/>
  <c r="V11" i="4" s="1"/>
  <c r="C16" i="5"/>
  <c r="Y4" i="4"/>
  <c r="S4" i="4"/>
  <c r="C13" i="4"/>
  <c r="C14" i="4"/>
  <c r="O9" i="5"/>
  <c r="H9" i="5"/>
  <c r="F8" i="5"/>
  <c r="M8" i="5"/>
  <c r="E7" i="5"/>
  <c r="E14" i="5" s="1"/>
  <c r="D17" i="5"/>
  <c r="E6" i="5"/>
  <c r="M6" i="5" s="1"/>
  <c r="M5" i="5"/>
  <c r="E16" i="5"/>
  <c r="X10" i="4"/>
  <c r="P6" i="4"/>
  <c r="O5" i="4"/>
  <c r="O11" i="4" s="1"/>
  <c r="Z8" i="4"/>
  <c r="S8" i="4"/>
  <c r="G6" i="5"/>
  <c r="O6" i="5" s="1"/>
  <c r="P6" i="5" s="1"/>
  <c r="O5" i="5"/>
  <c r="V5" i="5"/>
  <c r="AA4" i="4"/>
  <c r="F17" i="7"/>
  <c r="G18" i="7"/>
  <c r="E18" i="7"/>
  <c r="F18" i="7" s="1"/>
  <c r="C19" i="7"/>
  <c r="S9" i="4"/>
  <c r="E12" i="4" l="1"/>
  <c r="F15" i="5"/>
  <c r="F11" i="4"/>
  <c r="F6" i="4" s="1"/>
  <c r="D19" i="5"/>
  <c r="D18" i="5" s="1"/>
  <c r="U8" i="5"/>
  <c r="M7" i="5"/>
  <c r="M14" i="5" s="1"/>
  <c r="M17" i="5" s="1"/>
  <c r="M19" i="5" s="1"/>
  <c r="V12" i="4"/>
  <c r="V13" i="4" s="1"/>
  <c r="O12" i="4"/>
  <c r="O13" i="4" s="1"/>
  <c r="O14" i="4" s="1"/>
  <c r="U5" i="5"/>
  <c r="G8" i="5"/>
  <c r="F7" i="5"/>
  <c r="F14" i="5" s="1"/>
  <c r="N8" i="5"/>
  <c r="K16" i="5"/>
  <c r="C17" i="5"/>
  <c r="H8" i="5"/>
  <c r="Q6" i="4"/>
  <c r="P5" i="4"/>
  <c r="P11" i="4" s="1"/>
  <c r="L19" i="5"/>
  <c r="L18" i="5" s="1"/>
  <c r="N15" i="4"/>
  <c r="C15" i="4"/>
  <c r="G20" i="4"/>
  <c r="G21" i="4" s="1"/>
  <c r="H21" i="4" s="1"/>
  <c r="G7" i="4"/>
  <c r="G15" i="5"/>
  <c r="G11" i="4"/>
  <c r="R10" i="4" s="1"/>
  <c r="E17" i="5"/>
  <c r="E19" i="5" s="1"/>
  <c r="E18" i="5" s="1"/>
  <c r="W9" i="5"/>
  <c r="X9" i="5" s="1"/>
  <c r="P9" i="5"/>
  <c r="X6" i="4"/>
  <c r="W5" i="4"/>
  <c r="W11" i="4" s="1"/>
  <c r="W12" i="4" s="1"/>
  <c r="W13" i="4" s="1"/>
  <c r="W14" i="4" s="1"/>
  <c r="H6" i="5"/>
  <c r="T20" i="5"/>
  <c r="AA8" i="4"/>
  <c r="E20" i="5"/>
  <c r="V6" i="5"/>
  <c r="W5" i="5"/>
  <c r="P5" i="5"/>
  <c r="E19" i="7"/>
  <c r="F19" i="7" s="1"/>
  <c r="D15" i="4"/>
  <c r="O15" i="4" l="1"/>
  <c r="F12" i="4"/>
  <c r="L20" i="5"/>
  <c r="E13" i="4"/>
  <c r="E14" i="4" s="1"/>
  <c r="E15" i="4" s="1"/>
  <c r="V19" i="4"/>
  <c r="V14" i="4"/>
  <c r="Q18" i="4"/>
  <c r="C16" i="4"/>
  <c r="D16" i="4" s="1"/>
  <c r="V8" i="5"/>
  <c r="V7" i="5" s="1"/>
  <c r="V14" i="5" s="1"/>
  <c r="N7" i="5"/>
  <c r="N14" i="5" s="1"/>
  <c r="C19" i="5"/>
  <c r="C18" i="5" s="1"/>
  <c r="Z10" i="4"/>
  <c r="G16" i="5"/>
  <c r="M19" i="4"/>
  <c r="M20" i="4" s="1"/>
  <c r="P12" i="4"/>
  <c r="P13" i="4" s="1"/>
  <c r="P14" i="4" s="1"/>
  <c r="G7" i="5"/>
  <c r="O8" i="5"/>
  <c r="U7" i="5"/>
  <c r="U14" i="5" s="1"/>
  <c r="U17" i="5" s="1"/>
  <c r="U19" i="5" s="1"/>
  <c r="N15" i="5"/>
  <c r="N16" i="5"/>
  <c r="V16" i="5" s="1"/>
  <c r="V15" i="5" s="1"/>
  <c r="H15" i="5"/>
  <c r="F13" i="4"/>
  <c r="F14" i="4" s="1"/>
  <c r="F15" i="4" s="1"/>
  <c r="U6" i="5"/>
  <c r="Y6" i="4"/>
  <c r="X5" i="4"/>
  <c r="X11" i="4" s="1"/>
  <c r="G6" i="4"/>
  <c r="H6" i="4" s="1"/>
  <c r="C18" i="4" s="1"/>
  <c r="H7" i="4"/>
  <c r="Q10" i="4"/>
  <c r="Q5" i="4" s="1"/>
  <c r="H11" i="4"/>
  <c r="O16" i="5"/>
  <c r="W16" i="5" s="1"/>
  <c r="W15" i="5" s="1"/>
  <c r="O15" i="5"/>
  <c r="R6" i="4"/>
  <c r="R5" i="4" s="1"/>
  <c r="R11" i="4" s="1"/>
  <c r="R12" i="4" s="1"/>
  <c r="R13" i="4" s="1"/>
  <c r="R14" i="4" s="1"/>
  <c r="S16" i="5"/>
  <c r="K15" i="5"/>
  <c r="K17" i="5"/>
  <c r="K19" i="5" s="1"/>
  <c r="D20" i="5"/>
  <c r="M18" i="5"/>
  <c r="W6" i="5"/>
  <c r="X5" i="5"/>
  <c r="M20" i="5"/>
  <c r="X6" i="5" l="1"/>
  <c r="P15" i="4"/>
  <c r="C20" i="5"/>
  <c r="C21" i="5" s="1"/>
  <c r="D21" i="5" s="1"/>
  <c r="E21" i="5" s="1"/>
  <c r="E16" i="4"/>
  <c r="F16" i="4" s="1"/>
  <c r="B5" i="6"/>
  <c r="J4" i="6" s="1"/>
  <c r="D21" i="4"/>
  <c r="D22" i="4" s="1"/>
  <c r="W8" i="5"/>
  <c r="W7" i="5" s="1"/>
  <c r="W14" i="5" s="1"/>
  <c r="X14" i="5" s="1"/>
  <c r="O7" i="5"/>
  <c r="N17" i="5"/>
  <c r="S15" i="5"/>
  <c r="X16" i="5"/>
  <c r="H7" i="5"/>
  <c r="G14" i="5"/>
  <c r="V17" i="5"/>
  <c r="P16" i="5"/>
  <c r="S6" i="4"/>
  <c r="G12" i="4"/>
  <c r="U20" i="5"/>
  <c r="U18" i="5"/>
  <c r="X8" i="5"/>
  <c r="Z6" i="4"/>
  <c r="Z5" i="4" s="1"/>
  <c r="Z11" i="4" s="1"/>
  <c r="Z12" i="4" s="1"/>
  <c r="P15" i="5"/>
  <c r="P8" i="5"/>
  <c r="V15" i="4"/>
  <c r="W15" i="4" s="1"/>
  <c r="V20" i="4"/>
  <c r="V21" i="4" s="1"/>
  <c r="K20" i="5"/>
  <c r="K21" i="5" s="1"/>
  <c r="L21" i="5" s="1"/>
  <c r="M21" i="5" s="1"/>
  <c r="K18" i="5"/>
  <c r="Q11" i="4"/>
  <c r="S5" i="4"/>
  <c r="N17" i="4" s="1"/>
  <c r="D5" i="6" s="1"/>
  <c r="K4" i="6" s="1"/>
  <c r="Y10" i="4"/>
  <c r="AA10" i="4" s="1"/>
  <c r="F16" i="5"/>
  <c r="S10" i="4"/>
  <c r="X12" i="4"/>
  <c r="X13" i="4" s="1"/>
  <c r="X14" i="4" s="1"/>
  <c r="Q19" i="4"/>
  <c r="W17" i="5" l="1"/>
  <c r="X7" i="5"/>
  <c r="Y23" i="5" s="1"/>
  <c r="S23" i="5" s="1"/>
  <c r="G5" i="6" s="1"/>
  <c r="X15" i="4"/>
  <c r="P7" i="5"/>
  <c r="Q23" i="5" s="1"/>
  <c r="K23" i="5" s="1"/>
  <c r="E5" i="6" s="1"/>
  <c r="O14" i="5"/>
  <c r="G17" i="5"/>
  <c r="H14" i="5"/>
  <c r="G13" i="4"/>
  <c r="H13" i="4" s="1"/>
  <c r="H12" i="4"/>
  <c r="N19" i="5"/>
  <c r="N18" i="5" s="1"/>
  <c r="AA6" i="4"/>
  <c r="H16" i="5"/>
  <c r="H23" i="5" s="1"/>
  <c r="C23" i="5" s="1"/>
  <c r="C5" i="6" s="1"/>
  <c r="F17" i="5"/>
  <c r="Q12" i="4"/>
  <c r="S12" i="4" s="1"/>
  <c r="S11" i="4"/>
  <c r="Y5" i="4"/>
  <c r="V19" i="5"/>
  <c r="V18" i="5" s="1"/>
  <c r="X15" i="5"/>
  <c r="S17" i="5"/>
  <c r="Z13" i="4"/>
  <c r="W19" i="5"/>
  <c r="W20" i="5" s="1"/>
  <c r="X17" i="5" l="1"/>
  <c r="P23" i="5"/>
  <c r="V20" i="5"/>
  <c r="Q13" i="4"/>
  <c r="S13" i="4" s="1"/>
  <c r="S14" i="4" s="1"/>
  <c r="N20" i="5"/>
  <c r="N21" i="5" s="1"/>
  <c r="Y11" i="4"/>
  <c r="AA5" i="4"/>
  <c r="V17" i="4" s="1"/>
  <c r="F5" i="6" s="1"/>
  <c r="L4" i="6" s="1"/>
  <c r="S19" i="5"/>
  <c r="S18" i="5" s="1"/>
  <c r="F19" i="5"/>
  <c r="H17" i="5"/>
  <c r="G19" i="5"/>
  <c r="G20" i="5" s="1"/>
  <c r="O17" i="5"/>
  <c r="P14" i="5"/>
  <c r="G14" i="4"/>
  <c r="Z14" i="4"/>
  <c r="W18" i="5"/>
  <c r="Q14" i="4" l="1"/>
  <c r="Q15" i="4" s="1"/>
  <c r="R15" i="4" s="1"/>
  <c r="S15" i="4" s="1"/>
  <c r="S20" i="5"/>
  <c r="S21" i="5" s="1"/>
  <c r="T21" i="5" s="1"/>
  <c r="U21" i="5" s="1"/>
  <c r="V21" i="5" s="1"/>
  <c r="W21" i="5" s="1"/>
  <c r="X21" i="5" s="1"/>
  <c r="X19" i="5"/>
  <c r="X18" i="5"/>
  <c r="G18" i="5"/>
  <c r="O19" i="5"/>
  <c r="O20" i="5" s="1"/>
  <c r="G15" i="4"/>
  <c r="G16" i="4" s="1"/>
  <c r="H16" i="4" s="1"/>
  <c r="H14" i="4"/>
  <c r="H15" i="4" s="1"/>
  <c r="F18" i="5"/>
  <c r="H19" i="5"/>
  <c r="P17" i="5"/>
  <c r="F20" i="5"/>
  <c r="F21" i="5" s="1"/>
  <c r="G21" i="5" s="1"/>
  <c r="H21" i="5" s="1"/>
  <c r="Y12" i="4"/>
  <c r="AA12" i="4" s="1"/>
  <c r="AA11" i="4"/>
  <c r="X20" i="5" l="1"/>
  <c r="Y13" i="4"/>
  <c r="Y14" i="4" s="1"/>
  <c r="Y15" i="4" s="1"/>
  <c r="Z15" i="4" s="1"/>
  <c r="AA15" i="4" s="1"/>
  <c r="H18" i="5"/>
  <c r="O21" i="5"/>
  <c r="P21" i="5" s="1"/>
  <c r="P20" i="5"/>
  <c r="O18" i="5"/>
  <c r="P18" i="5" s="1"/>
  <c r="P19" i="5"/>
  <c r="H20" i="5"/>
  <c r="AA13" i="4" l="1"/>
  <c r="AA14" i="4" s="1"/>
</calcChain>
</file>

<file path=xl/sharedStrings.xml><?xml version="1.0" encoding="utf-8"?>
<sst xmlns="http://schemas.openxmlformats.org/spreadsheetml/2006/main" count="225" uniqueCount="118">
  <si>
    <t>Tanque de alcenamiento de leche</t>
  </si>
  <si>
    <t>Unidad</t>
  </si>
  <si>
    <t>Cantidad</t>
  </si>
  <si>
    <t>Precio 
L.</t>
  </si>
  <si>
    <t>Costo 
tota
L.l</t>
  </si>
  <si>
    <t>No.</t>
  </si>
  <si>
    <t>Mano de Obra</t>
  </si>
  <si>
    <t>Transporte</t>
  </si>
  <si>
    <t xml:space="preserve">Costo 
Unitario
L.
</t>
  </si>
  <si>
    <t xml:space="preserve">Costo 
Total
L.
</t>
  </si>
  <si>
    <t>Global</t>
  </si>
  <si>
    <t>Mensual</t>
  </si>
  <si>
    <t>Ha.</t>
  </si>
  <si>
    <t>Viaje</t>
  </si>
  <si>
    <t>Kwh</t>
  </si>
  <si>
    <t>Sub total</t>
  </si>
  <si>
    <t>quintales</t>
  </si>
  <si>
    <t>Ingresos de la venta de la leche.</t>
  </si>
  <si>
    <t>Ingresos</t>
  </si>
  <si>
    <t>Cantidad de leche Litros</t>
  </si>
  <si>
    <t>ano1</t>
  </si>
  <si>
    <t>año2</t>
  </si>
  <si>
    <t>año3</t>
  </si>
  <si>
    <t>año4</t>
  </si>
  <si>
    <t>año5</t>
  </si>
  <si>
    <t>Precio en Lempira./litro</t>
  </si>
  <si>
    <t>Proyecto</t>
  </si>
  <si>
    <t>Total</t>
  </si>
  <si>
    <t>Total de costos</t>
  </si>
  <si>
    <t>Costos de Producción</t>
  </si>
  <si>
    <t>Costos de mano de obra</t>
  </si>
  <si>
    <t>Gastos administrativos</t>
  </si>
  <si>
    <t>Gastos Financieros</t>
  </si>
  <si>
    <t>Utilidad antes del impuesto</t>
  </si>
  <si>
    <t>Impuesto sobre renta</t>
  </si>
  <si>
    <t xml:space="preserve">FLUJO NETO </t>
  </si>
  <si>
    <t>Utilidad Neta acumulada</t>
  </si>
  <si>
    <t>Descripción</t>
  </si>
  <si>
    <t>AÑO1</t>
  </si>
  <si>
    <t>AÑO2</t>
  </si>
  <si>
    <t>AÑO3</t>
  </si>
  <si>
    <t>AÑO4</t>
  </si>
  <si>
    <t>AÑO5</t>
  </si>
  <si>
    <t>INGRESOS</t>
  </si>
  <si>
    <t>Ventas</t>
  </si>
  <si>
    <t>Total  ingresos</t>
  </si>
  <si>
    <t>Total de gastos</t>
  </si>
  <si>
    <t>Gastos Administrativos</t>
  </si>
  <si>
    <t>Gastos de Mercadeo</t>
  </si>
  <si>
    <t>Gastos de Depreciación</t>
  </si>
  <si>
    <t>UTILIDAD de OPERACIÓN</t>
  </si>
  <si>
    <t>Intereses préstamo Cap. de trab.</t>
  </si>
  <si>
    <t>UTILIDAD  Antes de Impuestos</t>
  </si>
  <si>
    <t>IMPUESTOS</t>
  </si>
  <si>
    <t>Impuestos sobre la renta</t>
  </si>
  <si>
    <t xml:space="preserve">UTILIDAD DESPUES DE IMPUESTOS </t>
  </si>
  <si>
    <t>UTILIDAD DEL EJERCICIO ACUMULADA</t>
  </si>
  <si>
    <t>Escenario 1: L, 6,00/Kws.</t>
  </si>
  <si>
    <t>Escenario  2: L, 11,00/Kws.</t>
  </si>
  <si>
    <t>Escenario 8: L, 18,00/Kws.</t>
  </si>
  <si>
    <t>Flujo de
 caja 
B/C, en L.</t>
  </si>
  <si>
    <t>Estados 
resultado
B/C, en L.</t>
  </si>
  <si>
    <t>B/C</t>
  </si>
  <si>
    <t xml:space="preserve">FONDOS </t>
  </si>
  <si>
    <t>Monto</t>
  </si>
  <si>
    <t>Amortización años</t>
  </si>
  <si>
    <t>complementar</t>
  </si>
  <si>
    <t>Tipo anual nominal</t>
  </si>
  <si>
    <t>Pago</t>
  </si>
  <si>
    <t>Saldo inicial</t>
  </si>
  <si>
    <t>Capital</t>
  </si>
  <si>
    <t xml:space="preserve">Intereses </t>
  </si>
  <si>
    <t>Total pago</t>
  </si>
  <si>
    <t>Saldo Final</t>
  </si>
  <si>
    <t>B/c</t>
  </si>
  <si>
    <t>b/c</t>
  </si>
  <si>
    <t xml:space="preserve">PLANTILLA FINANCIERA PERFIL DE INGRESOS </t>
  </si>
  <si>
    <t>Perfil de ingreso</t>
  </si>
  <si>
    <t>Escenario 1: L, 6,00/kWh.</t>
  </si>
  <si>
    <t>Escenario 2: L, 11,00/kWh.</t>
  </si>
  <si>
    <t>Escenario 3: L, 18,00/kWh.</t>
  </si>
  <si>
    <t>Insumos</t>
  </si>
  <si>
    <t>Mano de obra</t>
  </si>
  <si>
    <t>Electricidad</t>
  </si>
  <si>
    <t xml:space="preserve">Indicaciones </t>
  </si>
  <si>
    <t>En este cuadro se llena las columnas :C, D, E, F,,  lo demás es automático.</t>
  </si>
  <si>
    <t>En los siguientes cuadros se llena las columnas: B, C, D,E,  lo demás es automático.</t>
  </si>
  <si>
    <t>En los siguientes cuadros se llena las columnas: C, D,E, F, G, H, de las filas 10 y 11,  lo demás es automático.</t>
  </si>
  <si>
    <t>servicio de la deuda</t>
  </si>
  <si>
    <t>Indicaciones del cuadro de la amortización de la inversión</t>
  </si>
  <si>
    <t xml:space="preserve">2. se ingresan datos columna C fila 9, tasa anual nominal. </t>
  </si>
  <si>
    <t>En este cuadro no se ingresan datos</t>
  </si>
  <si>
    <t>Estado financiero</t>
  </si>
  <si>
    <t>Flujo de caja en lempira</t>
  </si>
  <si>
    <t>Inversión del proyecto</t>
  </si>
  <si>
    <t>´Descripción</t>
  </si>
  <si>
    <t>Ordeñadora mecánica</t>
  </si>
  <si>
    <t>Total de inversión</t>
  </si>
  <si>
    <t>Egresos</t>
  </si>
  <si>
    <t>Egresos(gastos)</t>
  </si>
  <si>
    <t>Alimentación concentrado para lecheras</t>
  </si>
  <si>
    <t>Reproducción de salud</t>
  </si>
  <si>
    <t>Mantenimiento de potreros</t>
  </si>
  <si>
    <t>Servicios (agua, teléfono, papelería)</t>
  </si>
  <si>
    <t>Gastos de energía eléctrica</t>
  </si>
  <si>
    <t>Otros (detergentes, desinfectante, etc.)</t>
  </si>
  <si>
    <t xml:space="preserve">1. Se ingresa datos; en la columna B,  fila 8, amortización en años. </t>
  </si>
  <si>
    <t>Gastos de energía (L. 11,00 /kwa.)</t>
  </si>
  <si>
    <t>Gastos de energía (L. 18,00 /kwah.)</t>
  </si>
  <si>
    <t>Gastos de energía (L. 6,00 /kwa.)</t>
  </si>
  <si>
    <t>Utilidad después del impuesto</t>
  </si>
  <si>
    <t>Costos de operación</t>
  </si>
  <si>
    <t>Gastos de energía (L. 18,00 /kwa.)</t>
  </si>
  <si>
    <t>Relación Beneficio Costo</t>
  </si>
  <si>
    <t>Relación beneficio costo</t>
  </si>
  <si>
    <t xml:space="preserve">Consultoría </t>
  </si>
  <si>
    <r>
      <t>DESARROLLO DEL PROGRAMA DE AUTOSOSTENIBILIDAD MEDIANTE USOS PRODUCTIVOS DE LA ELECTRICIDAD EN LA REPÚBLICA DE HONDURAS (PAMUPE)</t>
    </r>
    <r>
      <rPr>
        <b/>
        <sz val="20"/>
        <color rgb="FF000000"/>
        <rFont val="Arial"/>
        <family val="2"/>
      </rPr>
      <t xml:space="preserve"> </t>
    </r>
  </si>
  <si>
    <t>Rubro: Leche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</si>
</sst>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_ ;_ * \-#,##0_ ;_ * &quot;-&quot;??_ ;_ @_ "/>
    <numFmt numFmtId="165" formatCode="_-* #,##0.00\ _€_-;\-* #,##0.00\ _€_-;_-* &quot;-&quot;??\ _€_-;_-@_-"/>
    <numFmt numFmtId="166" formatCode="&quot;L&quot;#,##0.00"/>
    <numFmt numFmtId="167" formatCode="0.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30"/>
      <color theme="1"/>
      <name val="Calibri"/>
      <family val="2"/>
      <scheme val="minor"/>
    </font>
    <font>
      <b/>
      <sz val="43"/>
      <color rgb="FF00206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sz val="12"/>
      <color theme="0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hadow/>
      <sz val="22"/>
      <color rgb="FF002060"/>
      <name val="Calibri"/>
      <family val="2"/>
      <scheme val="minor"/>
    </font>
    <font>
      <b/>
      <sz val="2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7" applyNumberFormat="0" applyFont="0" applyAlignment="0" applyProtection="0"/>
  </cellStyleXfs>
  <cellXfs count="14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43" fontId="4" fillId="3" borderId="2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left"/>
    </xf>
    <xf numFmtId="43" fontId="5" fillId="4" borderId="1" xfId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 vertical="center"/>
    </xf>
    <xf numFmtId="43" fontId="6" fillId="4" borderId="1" xfId="1" applyFont="1" applyFill="1" applyBorder="1"/>
    <xf numFmtId="43" fontId="7" fillId="4" borderId="1" xfId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43" fontId="5" fillId="6" borderId="1" xfId="1" applyFont="1" applyFill="1" applyBorder="1" applyAlignment="1">
      <alignment horizontal="right"/>
    </xf>
    <xf numFmtId="43" fontId="5" fillId="3" borderId="1" xfId="1" applyFont="1" applyFill="1" applyBorder="1" applyAlignment="1">
      <alignment horizontal="left"/>
    </xf>
    <xf numFmtId="43" fontId="4" fillId="3" borderId="1" xfId="1" applyFont="1" applyFill="1" applyBorder="1" applyAlignment="1">
      <alignment horizontal="right"/>
    </xf>
    <xf numFmtId="43" fontId="4" fillId="6" borderId="1" xfId="1" applyFont="1" applyFill="1" applyBorder="1" applyAlignment="1">
      <alignment horizontal="right"/>
    </xf>
    <xf numFmtId="43" fontId="9" fillId="3" borderId="3" xfId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43" fontId="10" fillId="3" borderId="3" xfId="1" applyFont="1" applyFill="1" applyBorder="1" applyAlignment="1">
      <alignment horizontal="center" vertical="center"/>
    </xf>
    <xf numFmtId="43" fontId="10" fillId="4" borderId="1" xfId="1" applyFont="1" applyFill="1" applyBorder="1" applyAlignment="1">
      <alignment horizontal="left"/>
    </xf>
    <xf numFmtId="43" fontId="10" fillId="4" borderId="1" xfId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 vertical="center"/>
    </xf>
    <xf numFmtId="43" fontId="11" fillId="4" borderId="1" xfId="1" applyFont="1" applyFill="1" applyBorder="1"/>
    <xf numFmtId="43" fontId="12" fillId="4" borderId="1" xfId="1" applyFont="1" applyFill="1" applyBorder="1" applyAlignment="1">
      <alignment horizontal="right"/>
    </xf>
    <xf numFmtId="4" fontId="13" fillId="5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43" fontId="10" fillId="6" borderId="1" xfId="1" applyFont="1" applyFill="1" applyBorder="1" applyAlignment="1">
      <alignment horizontal="right"/>
    </xf>
    <xf numFmtId="43" fontId="10" fillId="3" borderId="1" xfId="1" applyFont="1" applyFill="1" applyBorder="1" applyAlignment="1">
      <alignment horizontal="left"/>
    </xf>
    <xf numFmtId="43" fontId="9" fillId="3" borderId="1" xfId="1" applyFont="1" applyFill="1" applyBorder="1" applyAlignment="1">
      <alignment horizontal="right"/>
    </xf>
    <xf numFmtId="43" fontId="9" fillId="6" borderId="1" xfId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4" fillId="3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14" fillId="0" borderId="1" xfId="0" applyFont="1" applyBorder="1" applyAlignment="1">
      <alignment vertical="center"/>
    </xf>
    <xf numFmtId="43" fontId="14" fillId="0" borderId="1" xfId="1" applyFont="1" applyBorder="1" applyAlignment="1">
      <alignment horizontal="right" vertical="center"/>
    </xf>
    <xf numFmtId="43" fontId="5" fillId="3" borderId="1" xfId="0" applyNumberFormat="1" applyFont="1" applyFill="1" applyBorder="1"/>
    <xf numFmtId="43" fontId="14" fillId="0" borderId="1" xfId="1" applyFont="1" applyBorder="1" applyAlignment="1">
      <alignment vertical="center"/>
    </xf>
    <xf numFmtId="43" fontId="15" fillId="4" borderId="1" xfId="1" applyFont="1" applyFill="1" applyBorder="1" applyAlignment="1">
      <alignment horizontal="left"/>
    </xf>
    <xf numFmtId="43" fontId="14" fillId="6" borderId="1" xfId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/>
    </xf>
    <xf numFmtId="43" fontId="14" fillId="2" borderId="1" xfId="1" applyFont="1" applyFill="1" applyBorder="1" applyAlignment="1">
      <alignment horizontal="right" vertical="center"/>
    </xf>
    <xf numFmtId="43" fontId="14" fillId="4" borderId="1" xfId="1" applyFont="1" applyFill="1" applyBorder="1" applyAlignment="1">
      <alignment horizontal="right" vertical="center"/>
    </xf>
    <xf numFmtId="0" fontId="14" fillId="4" borderId="0" xfId="0" applyFont="1" applyFill="1" applyAlignment="1">
      <alignment vertical="center"/>
    </xf>
    <xf numFmtId="43" fontId="14" fillId="4" borderId="0" xfId="1" applyFont="1" applyFill="1" applyBorder="1" applyAlignment="1">
      <alignment horizontal="right" vertical="center"/>
    </xf>
    <xf numFmtId="165" fontId="0" fillId="4" borderId="0" xfId="0" applyNumberFormat="1" applyFill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3" fontId="0" fillId="0" borderId="1" xfId="0" applyNumberFormat="1" applyBorder="1"/>
    <xf numFmtId="165" fontId="0" fillId="0" borderId="0" xfId="0" applyNumberFormat="1"/>
    <xf numFmtId="43" fontId="16" fillId="3" borderId="1" xfId="1" applyFont="1" applyFill="1" applyBorder="1" applyAlignment="1">
      <alignment horizontal="right" vertical="center"/>
    </xf>
    <xf numFmtId="43" fontId="17" fillId="0" borderId="0" xfId="1" applyFont="1" applyBorder="1" applyAlignment="1">
      <alignment horizontal="right" vertical="center"/>
    </xf>
    <xf numFmtId="43" fontId="16" fillId="4" borderId="0" xfId="1" applyFont="1" applyFill="1" applyBorder="1" applyAlignment="1">
      <alignment horizontal="right" vertical="center"/>
    </xf>
    <xf numFmtId="43" fontId="0" fillId="4" borderId="0" xfId="0" applyNumberFormat="1" applyFill="1"/>
    <xf numFmtId="0" fontId="18" fillId="3" borderId="1" xfId="0" applyFont="1" applyFill="1" applyBorder="1" applyAlignment="1">
      <alignment vertical="center"/>
    </xf>
    <xf numFmtId="43" fontId="18" fillId="3" borderId="1" xfId="1" applyFont="1" applyFill="1" applyBorder="1" applyAlignment="1">
      <alignment horizontal="right" vertical="center"/>
    </xf>
    <xf numFmtId="165" fontId="3" fillId="4" borderId="0" xfId="0" applyNumberFormat="1" applyFont="1" applyFill="1"/>
    <xf numFmtId="0" fontId="19" fillId="3" borderId="1" xfId="0" applyFont="1" applyFill="1" applyBorder="1" applyAlignment="1">
      <alignment vertical="center"/>
    </xf>
    <xf numFmtId="43" fontId="19" fillId="3" borderId="1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 wrapText="1"/>
    </xf>
    <xf numFmtId="43" fontId="15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/>
    <xf numFmtId="0" fontId="21" fillId="4" borderId="1" xfId="0" applyFont="1" applyFill="1" applyBorder="1"/>
    <xf numFmtId="0" fontId="21" fillId="0" borderId="1" xfId="0" applyFont="1" applyBorder="1"/>
    <xf numFmtId="166" fontId="21" fillId="0" borderId="1" xfId="0" applyNumberFormat="1" applyFont="1" applyBorder="1" applyAlignment="1">
      <alignment horizontal="center"/>
    </xf>
    <xf numFmtId="167" fontId="22" fillId="7" borderId="1" xfId="0" applyNumberFormat="1" applyFont="1" applyFill="1" applyBorder="1" applyAlignment="1">
      <alignment horizontal="center"/>
    </xf>
    <xf numFmtId="0" fontId="23" fillId="8" borderId="1" xfId="0" applyFont="1" applyFill="1" applyBorder="1"/>
    <xf numFmtId="0" fontId="21" fillId="4" borderId="0" xfId="0" applyFont="1" applyFill="1"/>
    <xf numFmtId="0" fontId="21" fillId="4" borderId="0" xfId="0" applyFont="1" applyFill="1" applyAlignment="1">
      <alignment horizontal="center"/>
    </xf>
    <xf numFmtId="10" fontId="22" fillId="7" borderId="1" xfId="0" applyNumberFormat="1" applyFont="1" applyFill="1" applyBorder="1" applyAlignment="1">
      <alignment horizontal="center"/>
    </xf>
    <xf numFmtId="43" fontId="21" fillId="4" borderId="0" xfId="1" applyFont="1" applyFill="1" applyBorder="1" applyAlignment="1">
      <alignment horizontal="center"/>
    </xf>
    <xf numFmtId="0" fontId="21" fillId="2" borderId="1" xfId="0" applyFont="1" applyFill="1" applyBorder="1"/>
    <xf numFmtId="0" fontId="21" fillId="2" borderId="1" xfId="0" applyFont="1" applyFill="1" applyBorder="1" applyAlignment="1">
      <alignment horizontal="center"/>
    </xf>
    <xf numFmtId="0" fontId="21" fillId="2" borderId="1" xfId="1" applyNumberFormat="1" applyFont="1" applyFill="1" applyBorder="1" applyAlignment="1">
      <alignment horizontal="center"/>
    </xf>
    <xf numFmtId="43" fontId="21" fillId="0" borderId="1" xfId="0" applyNumberFormat="1" applyFont="1" applyBorder="1" applyAlignment="1">
      <alignment horizontal="center"/>
    </xf>
    <xf numFmtId="43" fontId="21" fillId="4" borderId="1" xfId="0" applyNumberFormat="1" applyFont="1" applyFill="1" applyBorder="1" applyAlignment="1">
      <alignment horizontal="center"/>
    </xf>
    <xf numFmtId="43" fontId="21" fillId="4" borderId="1" xfId="1" applyFont="1" applyFill="1" applyBorder="1" applyAlignment="1">
      <alignment horizontal="center"/>
    </xf>
    <xf numFmtId="43" fontId="21" fillId="0" borderId="1" xfId="1" applyFont="1" applyBorder="1"/>
    <xf numFmtId="43" fontId="0" fillId="0" borderId="1" xfId="1" applyFont="1" applyBorder="1"/>
    <xf numFmtId="165" fontId="0" fillId="0" borderId="1" xfId="0" applyNumberFormat="1" applyBorder="1"/>
    <xf numFmtId="43" fontId="0" fillId="2" borderId="1" xfId="1" applyFont="1" applyFill="1" applyBorder="1"/>
    <xf numFmtId="1" fontId="0" fillId="0" borderId="1" xfId="0" applyNumberFormat="1" applyBorder="1"/>
    <xf numFmtId="0" fontId="0" fillId="4" borderId="0" xfId="0" applyFill="1"/>
    <xf numFmtId="165" fontId="3" fillId="0" borderId="0" xfId="0" applyNumberFormat="1" applyFont="1"/>
    <xf numFmtId="0" fontId="3" fillId="0" borderId="0" xfId="0" applyFont="1"/>
    <xf numFmtId="43" fontId="3" fillId="0" borderId="0" xfId="1" applyFont="1"/>
    <xf numFmtId="9" fontId="3" fillId="0" borderId="0" xfId="2" applyFont="1"/>
    <xf numFmtId="43" fontId="3" fillId="0" borderId="4" xfId="1" applyFont="1" applyFill="1" applyBorder="1"/>
    <xf numFmtId="43" fontId="9" fillId="3" borderId="1" xfId="1" applyFont="1" applyFill="1" applyBorder="1" applyAlignment="1">
      <alignment horizontal="center" vertical="center"/>
    </xf>
    <xf numFmtId="43" fontId="10" fillId="3" borderId="1" xfId="1" applyFont="1" applyFill="1" applyBorder="1" applyAlignment="1">
      <alignment horizontal="center" vertical="center"/>
    </xf>
    <xf numFmtId="43" fontId="6" fillId="4" borderId="0" xfId="1" applyFont="1" applyFill="1" applyBorder="1"/>
    <xf numFmtId="43" fontId="5" fillId="4" borderId="0" xfId="1" applyFont="1" applyFill="1" applyBorder="1" applyAlignment="1">
      <alignment horizontal="center" vertical="center"/>
    </xf>
    <xf numFmtId="43" fontId="5" fillId="4" borderId="0" xfId="1" applyFont="1" applyFill="1" applyBorder="1" applyAlignment="1">
      <alignment horizontal="right"/>
    </xf>
    <xf numFmtId="43" fontId="6" fillId="4" borderId="5" xfId="1" applyFont="1" applyFill="1" applyBorder="1"/>
    <xf numFmtId="0" fontId="27" fillId="0" borderId="0" xfId="0" applyFont="1"/>
    <xf numFmtId="0" fontId="30" fillId="9" borderId="0" xfId="0" applyFont="1" applyFill="1"/>
    <xf numFmtId="0" fontId="31" fillId="9" borderId="0" xfId="0" applyFont="1" applyFill="1"/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43" fontId="3" fillId="4" borderId="0" xfId="1" applyFont="1" applyFill="1" applyBorder="1"/>
    <xf numFmtId="43" fontId="3" fillId="4" borderId="0" xfId="0" applyNumberFormat="1" applyFont="1" applyFill="1"/>
    <xf numFmtId="0" fontId="28" fillId="2" borderId="0" xfId="0" applyFont="1" applyFill="1"/>
    <xf numFmtId="0" fontId="29" fillId="2" borderId="0" xfId="0" applyFont="1" applyFill="1"/>
    <xf numFmtId="0" fontId="32" fillId="2" borderId="0" xfId="0" applyFont="1" applyFill="1"/>
    <xf numFmtId="0" fontId="0" fillId="2" borderId="0" xfId="0" applyFill="1"/>
    <xf numFmtId="0" fontId="33" fillId="4" borderId="0" xfId="0" applyFont="1" applyFill="1"/>
    <xf numFmtId="0" fontId="34" fillId="4" borderId="0" xfId="0" applyFont="1" applyFill="1"/>
    <xf numFmtId="1" fontId="3" fillId="0" borderId="0" xfId="0" applyNumberFormat="1" applyFont="1"/>
    <xf numFmtId="0" fontId="35" fillId="2" borderId="0" xfId="0" applyFont="1" applyFill="1"/>
    <xf numFmtId="0" fontId="36" fillId="2" borderId="0" xfId="0" applyFont="1" applyFill="1"/>
    <xf numFmtId="0" fontId="35" fillId="4" borderId="0" xfId="0" applyFont="1" applyFill="1"/>
    <xf numFmtId="0" fontId="37" fillId="4" borderId="0" xfId="0" applyFont="1" applyFill="1"/>
    <xf numFmtId="9" fontId="3" fillId="4" borderId="0" xfId="2" applyFont="1" applyFill="1" applyBorder="1"/>
    <xf numFmtId="0" fontId="38" fillId="4" borderId="0" xfId="0" applyFont="1" applyFill="1" applyAlignment="1">
      <alignment horizontal="center" vertical="center"/>
    </xf>
    <xf numFmtId="43" fontId="38" fillId="4" borderId="0" xfId="0" applyNumberFormat="1" applyFont="1" applyFill="1" applyAlignment="1">
      <alignment horizontal="center" vertical="center"/>
    </xf>
    <xf numFmtId="43" fontId="10" fillId="4" borderId="6" xfId="1" applyFont="1" applyFill="1" applyBorder="1" applyAlignment="1">
      <alignment horizontal="left"/>
    </xf>
    <xf numFmtId="43" fontId="39" fillId="4" borderId="0" xfId="1" applyFont="1" applyFill="1" applyBorder="1" applyAlignment="1">
      <alignment horizontal="right"/>
    </xf>
    <xf numFmtId="9" fontId="39" fillId="4" borderId="0" xfId="2" applyFont="1" applyFill="1" applyBorder="1" applyAlignment="1">
      <alignment horizontal="right"/>
    </xf>
    <xf numFmtId="43" fontId="39" fillId="4" borderId="0" xfId="1" applyFont="1" applyFill="1" applyBorder="1"/>
    <xf numFmtId="165" fontId="0" fillId="3" borderId="1" xfId="0" applyNumberFormat="1" applyFill="1" applyBorder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43" fontId="0" fillId="4" borderId="0" xfId="0" applyNumberFormat="1" applyFill="1" applyAlignment="1">
      <alignment horizontal="center" vertical="center"/>
    </xf>
    <xf numFmtId="10" fontId="22" fillId="4" borderId="0" xfId="0" applyNumberFormat="1" applyFont="1" applyFill="1" applyAlignment="1">
      <alignment horizontal="center"/>
    </xf>
    <xf numFmtId="0" fontId="23" fillId="4" borderId="0" xfId="0" applyFont="1" applyFill="1"/>
    <xf numFmtId="0" fontId="22" fillId="10" borderId="7" xfId="3" applyFont="1"/>
    <xf numFmtId="0" fontId="22" fillId="10" borderId="7" xfId="3" applyFont="1" applyAlignment="1">
      <alignment horizontal="center"/>
    </xf>
    <xf numFmtId="0" fontId="0" fillId="10" borderId="7" xfId="3" applyFont="1"/>
    <xf numFmtId="0" fontId="24" fillId="0" borderId="0" xfId="0" applyFont="1" applyAlignment="1">
      <alignment horizontal="center" vertical="center" wrapText="1"/>
    </xf>
    <xf numFmtId="0" fontId="35" fillId="0" borderId="8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tas" xfId="3" builtinId="1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/>
              <a:t>Gráfico, inversión</a:t>
            </a:r>
            <a:r>
              <a:rPr lang="es-HN" baseline="0"/>
              <a:t> proyecto leche</a:t>
            </a:r>
            <a:endParaRPr lang="es-H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Inversion!$D$21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Inversion!$C$22:$C$24</c:f>
              <c:strCache>
                <c:ptCount val="3"/>
                <c:pt idx="0">
                  <c:v>Ordeñadora mecánica</c:v>
                </c:pt>
                <c:pt idx="1">
                  <c:v>Tanque de alcenamiento de leche</c:v>
                </c:pt>
                <c:pt idx="2">
                  <c:v>Total de inversión</c:v>
                </c:pt>
              </c:strCache>
            </c:strRef>
          </c:cat>
          <c:val>
            <c:numRef>
              <c:f>Inversion!$D$22:$D$24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4-4139-A450-AC774B13A2A0}"/>
            </c:ext>
          </c:extLst>
        </c:ser>
        <c:ser>
          <c:idx val="1"/>
          <c:order val="1"/>
          <c:tx>
            <c:strRef>
              <c:f>Inversion!$E$21</c:f>
              <c:strCache>
                <c:ptCount val="1"/>
                <c:pt idx="0">
                  <c:v>Costo 
tota
L.l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Inversion!$C$22:$C$24</c:f>
              <c:strCache>
                <c:ptCount val="3"/>
                <c:pt idx="0">
                  <c:v>Ordeñadora mecánica</c:v>
                </c:pt>
                <c:pt idx="1">
                  <c:v>Tanque de alcenamiento de leche</c:v>
                </c:pt>
                <c:pt idx="2">
                  <c:v>Total de inversión</c:v>
                </c:pt>
              </c:strCache>
            </c:strRef>
          </c:cat>
          <c:val>
            <c:numRef>
              <c:f>Inversion!$E$22:$E$24</c:f>
              <c:numCache>
                <c:formatCode>_(* #,##0.00_);_(* \(#,##0.00\);_(* "-"??_);_(@_)</c:formatCode>
                <c:ptCount val="3"/>
                <c:pt idx="0">
                  <c:v>67000</c:v>
                </c:pt>
                <c:pt idx="1">
                  <c:v>220000</c:v>
                </c:pt>
                <c:pt idx="2">
                  <c:v>287000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4-4139-A450-AC774B13A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0836288"/>
        <c:axId val="780845440"/>
      </c:barChart>
      <c:catAx>
        <c:axId val="7808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780845440"/>
        <c:crosses val="autoZero"/>
        <c:auto val="1"/>
        <c:lblAlgn val="ctr"/>
        <c:lblOffset val="100"/>
        <c:noMultiLvlLbl val="0"/>
      </c:catAx>
      <c:valAx>
        <c:axId val="7808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78083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H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/>
              <a:t>Gastos en Inversión Productiva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'Flujo de caja'!$J$7:$J$9</c:f>
              <c:strCache>
                <c:ptCount val="3"/>
                <c:pt idx="0">
                  <c:v> Insumos </c:v>
                </c:pt>
                <c:pt idx="1">
                  <c:v> Mano de obra </c:v>
                </c:pt>
                <c:pt idx="2">
                  <c:v> Electricidad </c:v>
                </c:pt>
              </c:strCache>
            </c:strRef>
          </c:cat>
          <c:val>
            <c:numRef>
              <c:f>'Flujo de caja'!$K$7:$K$9</c:f>
              <c:numCache>
                <c:formatCode>0%</c:formatCode>
                <c:ptCount val="3"/>
                <c:pt idx="0">
                  <c:v>0.8283641680256425</c:v>
                </c:pt>
                <c:pt idx="1">
                  <c:v>6.3262666591688693E-2</c:v>
                </c:pt>
                <c:pt idx="2">
                  <c:v>0.10837316538266883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C-4B9A-A737-AEB983404D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48355952"/>
        <c:axId val="548362840"/>
      </c:barChart>
      <c:catAx>
        <c:axId val="548355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548362840"/>
        <c:crosses val="autoZero"/>
        <c:auto val="1"/>
        <c:lblAlgn val="ctr"/>
        <c:lblOffset val="100"/>
        <c:noMultiLvlLbl val="0"/>
      </c:catAx>
      <c:valAx>
        <c:axId val="548362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54835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/>
              <a:t>Relación B/C por Escenarios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plotArea>
      <c:layout>
        <c:manualLayout>
          <c:layoutTarget val="inner"/>
          <c:xMode val="edge"/>
          <c:yMode val="edge"/>
          <c:x val="0.25555323656832052"/>
          <c:y val="0.18429307629924019"/>
          <c:w val="0.50228040772011928"/>
          <c:h val="0.77139008002825915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4257028112449793E-2"/>
                  <c:y val="5.648007171507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E8-46B6-A90B-F9C2763AE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Escenario!$J$3:$L$3</c:f>
              <c:strCache>
                <c:ptCount val="3"/>
                <c:pt idx="0">
                  <c:v>Escenario 1: L, 6,00/kWh.</c:v>
                </c:pt>
                <c:pt idx="1">
                  <c:v>Escenario 2: L, 11,00/kWh.</c:v>
                </c:pt>
                <c:pt idx="2">
                  <c:v>Escenario 3: L, 18,00/kWh.</c:v>
                </c:pt>
              </c:strCache>
            </c:strRef>
          </c:cat>
          <c:val>
            <c:numRef>
              <c:f>Escenario!$J$4:$L$4</c:f>
              <c:numCache>
                <c:formatCode>_(* #,##0.00_);_(* \(#,##0.00\);_(* "-"??_);_(@_)</c:formatCode>
                <c:ptCount val="3"/>
                <c:pt idx="0">
                  <c:v>1.9101732862642504</c:v>
                </c:pt>
                <c:pt idx="1">
                  <c:v>1.7754063730754142</c:v>
                </c:pt>
                <c:pt idx="2">
                  <c:v>1.6171074066003979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8-46B6-A90B-F9C2763AED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5195944"/>
        <c:axId val="635197912"/>
      </c:radarChart>
      <c:catAx>
        <c:axId val="63519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635197912"/>
        <c:crosses val="autoZero"/>
        <c:auto val="1"/>
        <c:lblAlgn val="ctr"/>
        <c:lblOffset val="100"/>
        <c:noMultiLvlLbl val="0"/>
      </c:catAx>
      <c:valAx>
        <c:axId val="6351979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635195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3</xdr:row>
      <xdr:rowOff>15875</xdr:rowOff>
    </xdr:from>
    <xdr:to>
      <xdr:col>7</xdr:col>
      <xdr:colOff>182880</xdr:colOff>
      <xdr:row>8</xdr:row>
      <xdr:rowOff>148590</xdr:rowOff>
    </xdr:to>
    <xdr:pic>
      <xdr:nvPicPr>
        <xdr:cNvPr id="2" name="Imagen 1" descr="Imagen que contiene Código QR&#10;&#10;Descripción generada automáticamente">
          <a:extLst>
            <a:ext uri="{FF2B5EF4-FFF2-40B4-BE49-F238E27FC236}">
              <a16:creationId xmlns:a16="http://schemas.microsoft.com/office/drawing/2014/main" id="{6C9FADA7-A6CC-438D-BDC7-C84CEDE3A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87375"/>
          <a:ext cx="1554480" cy="1085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34</xdr:row>
      <xdr:rowOff>71437</xdr:rowOff>
    </xdr:from>
    <xdr:to>
      <xdr:col>15</xdr:col>
      <xdr:colOff>523875</xdr:colOff>
      <xdr:row>48</xdr:row>
      <xdr:rowOff>147637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717C8F0-7AED-9757-906D-AA0D840875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60</xdr:row>
      <xdr:rowOff>61912</xdr:rowOff>
    </xdr:from>
    <xdr:to>
      <xdr:col>13</xdr:col>
      <xdr:colOff>666750</xdr:colOff>
      <xdr:row>74</xdr:row>
      <xdr:rowOff>138112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6475D78-91AF-14AC-2932-049491EB79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466725</xdr:colOff>
      <xdr:row>44</xdr:row>
      <xdr:rowOff>90486</xdr:rowOff>
    </xdr:from>
    <xdr:to>
      <xdr:col>18</xdr:col>
      <xdr:colOff>638175</xdr:colOff>
      <xdr:row>60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E3664D-6E88-F9D3-CA5A-54D539708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X%20SALGADO/Desktop/perfiles%20de%20ingresos%20aned/01-11-2022,Ficha%20Financiera%20perfil%20de%20ingresos%20maiz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1. PLAN DE INVERSIÓN"/>
      <sheetName val="2. CUADRO AMORTIZACIÓN"/>
      <sheetName val="3, asistencia tecni y capacit."/>
      <sheetName val="4, Ingresos del poryecto"/>
      <sheetName val="5. FLUJO DE CAJA"/>
      <sheetName val="6, Estados finan. poryect."/>
      <sheetName val="Escenarario de los bene, costo"/>
      <sheetName val="Ananlisis comparativo"/>
      <sheetName val="Hoja8"/>
      <sheetName val="Hoja6"/>
      <sheetName val="Hoja7"/>
    </sheetNames>
    <sheetDataSet>
      <sheetData sheetId="0"/>
      <sheetData sheetId="1">
        <row r="7">
          <cell r="G7">
            <v>1350</v>
          </cell>
        </row>
      </sheetData>
      <sheetData sheetId="2"/>
      <sheetData sheetId="3"/>
      <sheetData sheetId="4"/>
      <sheetData sheetId="5">
        <row r="8">
          <cell r="C8">
            <v>2500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0F0C-E8ED-45EC-81C8-94BD6807B576}">
  <sheetPr>
    <pageSetUpPr fitToPage="1"/>
  </sheetPr>
  <dimension ref="A10:M31"/>
  <sheetViews>
    <sheetView tabSelected="1" zoomScale="70" zoomScaleNormal="70" workbookViewId="0">
      <selection activeCell="J5" sqref="J5"/>
    </sheetView>
  </sheetViews>
  <sheetFormatPr baseColWidth="10" defaultRowHeight="15" x14ac:dyDescent="0.25"/>
  <sheetData>
    <row r="10" spans="1:13" x14ac:dyDescent="0.25">
      <c r="A10" s="142" t="s">
        <v>76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x14ac:dyDescent="0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x14ac:dyDescent="0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3" ht="54.75" x14ac:dyDescent="0.25">
      <c r="A13" s="145" t="s">
        <v>77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33.75" x14ac:dyDescent="0.25">
      <c r="A14" s="146" t="s">
        <v>117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25" spans="1:13" ht="28.5" x14ac:dyDescent="0.25">
      <c r="A25" s="147" t="s">
        <v>115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7" spans="1:13" x14ac:dyDescent="0.25">
      <c r="A27" s="147" t="s">
        <v>116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8" spans="1:13" x14ac:dyDescent="0.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</row>
    <row r="29" spans="1:13" x14ac:dyDescent="0.2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</row>
    <row r="30" spans="1:13" x14ac:dyDescent="0.2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1:13" x14ac:dyDescent="0.2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5">
    <mergeCell ref="A10:M12"/>
    <mergeCell ref="A13:M13"/>
    <mergeCell ref="A14:M14"/>
    <mergeCell ref="A25:M25"/>
    <mergeCell ref="A27:M31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K27"/>
  <sheetViews>
    <sheetView workbookViewId="0">
      <selection activeCell="I23" sqref="I23"/>
    </sheetView>
  </sheetViews>
  <sheetFormatPr baseColWidth="10" defaultRowHeight="15" x14ac:dyDescent="0.25"/>
  <cols>
    <col min="3" max="3" width="31.28515625" bestFit="1" customWidth="1"/>
  </cols>
  <sheetData>
    <row r="2" spans="3:11" ht="18.75" x14ac:dyDescent="0.3">
      <c r="C2" s="106" t="s">
        <v>94</v>
      </c>
    </row>
    <row r="3" spans="3:11" ht="18" x14ac:dyDescent="0.25">
      <c r="C3" s="115" t="s">
        <v>84</v>
      </c>
      <c r="D3" s="116"/>
      <c r="E3" s="116"/>
      <c r="F3" s="116"/>
    </row>
    <row r="4" spans="3:11" ht="16.5" x14ac:dyDescent="0.3">
      <c r="C4" s="107" t="s">
        <v>85</v>
      </c>
      <c r="D4" s="108"/>
      <c r="E4" s="108"/>
      <c r="F4" s="108"/>
    </row>
    <row r="7" spans="3:11" ht="45" x14ac:dyDescent="0.25">
      <c r="C7" s="2" t="s">
        <v>95</v>
      </c>
      <c r="D7" s="2" t="s">
        <v>1</v>
      </c>
      <c r="E7" s="2" t="s">
        <v>2</v>
      </c>
      <c r="F7" s="3" t="s">
        <v>3</v>
      </c>
      <c r="G7" s="3" t="s">
        <v>4</v>
      </c>
      <c r="H7" s="4"/>
      <c r="I7" s="4"/>
      <c r="J7" s="4"/>
      <c r="K7" s="4"/>
    </row>
    <row r="8" spans="3:11" x14ac:dyDescent="0.25">
      <c r="C8" s="1" t="s">
        <v>96</v>
      </c>
      <c r="D8" s="1" t="s">
        <v>5</v>
      </c>
      <c r="E8" s="1">
        <v>1</v>
      </c>
      <c r="F8" s="1">
        <v>67000</v>
      </c>
      <c r="G8" s="1">
        <f>+F8*E8</f>
        <v>67000</v>
      </c>
      <c r="H8" s="1"/>
      <c r="I8" s="1"/>
      <c r="J8" s="1"/>
      <c r="K8" s="1"/>
    </row>
    <row r="9" spans="3:11" x14ac:dyDescent="0.25">
      <c r="C9" s="1" t="s">
        <v>0</v>
      </c>
      <c r="D9" s="1" t="s">
        <v>5</v>
      </c>
      <c r="E9" s="1">
        <v>1</v>
      </c>
      <c r="F9" s="1">
        <v>220000</v>
      </c>
      <c r="G9" s="1">
        <f>+F9*E9</f>
        <v>220000</v>
      </c>
      <c r="H9" s="1"/>
      <c r="I9" s="1"/>
      <c r="J9" s="1"/>
      <c r="K9" s="1"/>
    </row>
    <row r="10" spans="3:11" x14ac:dyDescent="0.25">
      <c r="C10" s="4" t="s">
        <v>97</v>
      </c>
      <c r="D10" s="4"/>
      <c r="E10" s="4"/>
      <c r="F10" s="4"/>
      <c r="G10" s="4">
        <f>SUM(G8:G9)</f>
        <v>287000</v>
      </c>
      <c r="H10" s="4"/>
      <c r="I10" s="4"/>
      <c r="J10" s="4"/>
      <c r="K10" s="4"/>
    </row>
    <row r="11" spans="3:11" x14ac:dyDescent="0.25">
      <c r="C11" s="1"/>
      <c r="D11" s="1"/>
      <c r="E11" s="1"/>
      <c r="F11" s="1"/>
      <c r="G11" s="1"/>
      <c r="H11" s="1"/>
      <c r="I11" s="1"/>
      <c r="J11" s="1"/>
      <c r="K11" s="1"/>
    </row>
    <row r="12" spans="3:11" x14ac:dyDescent="0.25">
      <c r="C12" s="1"/>
      <c r="D12" s="1"/>
      <c r="E12" s="1"/>
      <c r="F12" s="1"/>
      <c r="G12" s="1"/>
      <c r="H12" s="1"/>
      <c r="I12" s="1"/>
      <c r="J12" s="1"/>
      <c r="K12" s="1"/>
    </row>
    <row r="13" spans="3:11" x14ac:dyDescent="0.25">
      <c r="C13" s="1"/>
      <c r="D13" s="1"/>
      <c r="E13" s="1"/>
      <c r="F13" s="1"/>
      <c r="G13" s="1"/>
      <c r="H13" s="1"/>
      <c r="I13" s="1"/>
      <c r="J13" s="1"/>
      <c r="K13" s="1"/>
    </row>
    <row r="14" spans="3:11" x14ac:dyDescent="0.25">
      <c r="C14" s="1"/>
      <c r="D14" s="1"/>
      <c r="E14" s="1"/>
      <c r="F14" s="1"/>
      <c r="G14" s="1"/>
      <c r="H14" s="1"/>
      <c r="I14" s="1"/>
      <c r="J14" s="1"/>
      <c r="K14" s="1"/>
    </row>
    <row r="15" spans="3:11" x14ac:dyDescent="0.25">
      <c r="C15" s="1"/>
      <c r="D15" s="1"/>
      <c r="E15" s="1"/>
      <c r="F15" s="1"/>
      <c r="G15" s="1"/>
      <c r="H15" s="1"/>
      <c r="I15" s="1"/>
      <c r="J15" s="1"/>
      <c r="K15" s="1"/>
    </row>
    <row r="16" spans="3:11" x14ac:dyDescent="0.25">
      <c r="C16" s="1"/>
      <c r="D16" s="1"/>
      <c r="E16" s="1"/>
      <c r="F16" s="1"/>
      <c r="G16" s="1"/>
      <c r="H16" s="1"/>
      <c r="I16" s="1"/>
      <c r="J16" s="1"/>
      <c r="K16" s="1"/>
    </row>
    <row r="17" spans="3:11" x14ac:dyDescent="0.25">
      <c r="C17" s="1"/>
      <c r="D17" s="1"/>
      <c r="E17" s="1"/>
      <c r="F17" s="1"/>
      <c r="G17" s="1"/>
      <c r="H17" s="1"/>
      <c r="I17" s="1"/>
      <c r="J17" s="1"/>
      <c r="K17" s="1"/>
    </row>
    <row r="18" spans="3:11" x14ac:dyDescent="0.25">
      <c r="C18" s="1"/>
      <c r="D18" s="1"/>
      <c r="E18" s="1"/>
      <c r="F18" s="1"/>
      <c r="G18" s="1"/>
      <c r="H18" s="1"/>
      <c r="I18" s="1"/>
      <c r="J18" s="1"/>
      <c r="K18" s="1"/>
    </row>
    <row r="19" spans="3:11" x14ac:dyDescent="0.25">
      <c r="C19" s="1"/>
      <c r="D19" s="1"/>
      <c r="E19" s="1"/>
      <c r="F19" s="1"/>
      <c r="G19" s="1"/>
      <c r="H19" s="1"/>
      <c r="I19" s="1"/>
      <c r="J19" s="1"/>
      <c r="K19" s="1"/>
    </row>
    <row r="21" spans="3:11" ht="45" x14ac:dyDescent="0.25">
      <c r="C21" s="109" t="s">
        <v>95</v>
      </c>
      <c r="D21" s="109" t="s">
        <v>2</v>
      </c>
      <c r="E21" s="110" t="s">
        <v>4</v>
      </c>
      <c r="F21" s="111"/>
      <c r="G21" s="111"/>
      <c r="H21" s="111"/>
    </row>
    <row r="22" spans="3:11" x14ac:dyDescent="0.25">
      <c r="C22" s="111" t="s">
        <v>96</v>
      </c>
      <c r="D22" s="112">
        <v>1</v>
      </c>
      <c r="E22" s="113">
        <v>67000</v>
      </c>
      <c r="F22" s="111"/>
      <c r="G22" s="111"/>
      <c r="H22" s="111"/>
    </row>
    <row r="23" spans="3:11" x14ac:dyDescent="0.25">
      <c r="C23" s="111" t="s">
        <v>0</v>
      </c>
      <c r="D23" s="112">
        <v>1</v>
      </c>
      <c r="E23" s="113">
        <v>220000</v>
      </c>
      <c r="F23" s="111"/>
      <c r="G23" s="111"/>
      <c r="H23" s="111"/>
    </row>
    <row r="24" spans="3:11" x14ac:dyDescent="0.25">
      <c r="C24" s="111" t="s">
        <v>97</v>
      </c>
      <c r="D24" s="112"/>
      <c r="E24" s="113">
        <v>287000</v>
      </c>
      <c r="F24" s="111">
        <f>+E24*0.1</f>
        <v>28700</v>
      </c>
      <c r="G24" s="114">
        <f>+E24-F24</f>
        <v>258300</v>
      </c>
      <c r="H24" s="111"/>
    </row>
    <row r="25" spans="3:11" x14ac:dyDescent="0.25">
      <c r="C25" s="111"/>
      <c r="D25" s="111"/>
      <c r="E25" s="111"/>
      <c r="F25" s="111"/>
      <c r="G25" s="111">
        <f>+G24/5</f>
        <v>51660</v>
      </c>
      <c r="H25" s="111"/>
    </row>
    <row r="26" spans="3:11" x14ac:dyDescent="0.25">
      <c r="C26" s="111"/>
      <c r="D26" s="111"/>
      <c r="E26" s="111"/>
      <c r="F26" s="111"/>
      <c r="G26" s="111"/>
      <c r="H26" s="111"/>
    </row>
    <row r="27" spans="3:11" x14ac:dyDescent="0.25">
      <c r="C27" s="111"/>
      <c r="D27" s="111"/>
      <c r="E27" s="111"/>
      <c r="F27" s="111"/>
      <c r="G27" s="111"/>
      <c r="H27" s="11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20"/>
  <sheetViews>
    <sheetView workbookViewId="0">
      <selection activeCell="B15" sqref="B15"/>
    </sheetView>
  </sheetViews>
  <sheetFormatPr baseColWidth="10" defaultRowHeight="15" x14ac:dyDescent="0.25"/>
  <cols>
    <col min="2" max="2" width="35.85546875" bestFit="1" customWidth="1"/>
  </cols>
  <sheetData>
    <row r="2" spans="2:18" ht="18" x14ac:dyDescent="0.25">
      <c r="B2" s="115" t="s">
        <v>84</v>
      </c>
      <c r="C2" s="117"/>
      <c r="D2" s="117"/>
      <c r="E2" s="118"/>
      <c r="F2" s="94"/>
      <c r="G2" s="94"/>
    </row>
    <row r="3" spans="2:18" ht="15.75" x14ac:dyDescent="0.25">
      <c r="B3" s="119" t="s">
        <v>86</v>
      </c>
      <c r="C3" s="120"/>
      <c r="D3" s="120"/>
      <c r="E3" s="94"/>
      <c r="F3" s="94"/>
      <c r="G3" s="94"/>
    </row>
    <row r="5" spans="2:18" x14ac:dyDescent="0.25">
      <c r="B5" t="s">
        <v>98</v>
      </c>
    </row>
    <row r="6" spans="2:18" ht="60" x14ac:dyDescent="0.25">
      <c r="B6" s="2" t="s">
        <v>37</v>
      </c>
      <c r="C6" s="2" t="s">
        <v>1</v>
      </c>
      <c r="D6" s="2" t="s">
        <v>2</v>
      </c>
      <c r="E6" s="3" t="s">
        <v>8</v>
      </c>
      <c r="F6" s="3" t="s">
        <v>9</v>
      </c>
    </row>
    <row r="7" spans="2:18" x14ac:dyDescent="0.25">
      <c r="B7" s="1" t="s">
        <v>99</v>
      </c>
      <c r="C7" s="1"/>
      <c r="D7" s="1"/>
      <c r="E7" s="1"/>
      <c r="F7" s="1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2:18" x14ac:dyDescent="0.25">
      <c r="B8" s="1" t="s">
        <v>100</v>
      </c>
      <c r="C8" s="1" t="s">
        <v>16</v>
      </c>
      <c r="D8" s="1">
        <v>432</v>
      </c>
      <c r="E8" s="1">
        <v>286</v>
      </c>
      <c r="F8" s="1">
        <f t="shared" ref="F8:F15" si="0">+E8*D8</f>
        <v>123552</v>
      </c>
      <c r="G8" s="96"/>
      <c r="H8" s="96"/>
      <c r="I8" s="96">
        <v>24</v>
      </c>
      <c r="J8" s="96">
        <v>5</v>
      </c>
      <c r="K8" s="96">
        <f>+J8*I8</f>
        <v>120</v>
      </c>
      <c r="L8" s="96">
        <v>30</v>
      </c>
      <c r="M8" s="96">
        <f>+L8*K8</f>
        <v>3600</v>
      </c>
      <c r="N8" s="96">
        <f>+M8*12</f>
        <v>43200</v>
      </c>
      <c r="O8" s="96"/>
      <c r="P8" s="96"/>
      <c r="Q8" s="96"/>
      <c r="R8" s="96"/>
    </row>
    <row r="9" spans="2:18" x14ac:dyDescent="0.25">
      <c r="B9" s="1" t="s">
        <v>6</v>
      </c>
      <c r="C9" s="1" t="s">
        <v>11</v>
      </c>
      <c r="D9" s="1">
        <v>14</v>
      </c>
      <c r="E9" s="1">
        <v>7500</v>
      </c>
      <c r="F9" s="1">
        <f t="shared" si="0"/>
        <v>105000</v>
      </c>
      <c r="G9" s="96">
        <v>20</v>
      </c>
      <c r="H9" s="96">
        <f>+F9/D9</f>
        <v>7500</v>
      </c>
      <c r="I9" s="96">
        <v>6</v>
      </c>
      <c r="J9" s="96">
        <f>+I9*H9</f>
        <v>45000</v>
      </c>
      <c r="K9" s="96">
        <f>+J9+F9</f>
        <v>150000</v>
      </c>
      <c r="L9" s="96">
        <f>+J9/K9</f>
        <v>0.3</v>
      </c>
      <c r="M9" s="96">
        <f>+M8/100</f>
        <v>36</v>
      </c>
      <c r="N9" s="96">
        <v>12</v>
      </c>
      <c r="O9" s="96">
        <f>+N9*M9</f>
        <v>432</v>
      </c>
      <c r="P9" s="96"/>
      <c r="Q9" s="96"/>
      <c r="R9" s="96"/>
    </row>
    <row r="10" spans="2:18" x14ac:dyDescent="0.25">
      <c r="B10" s="1" t="s">
        <v>101</v>
      </c>
      <c r="C10" s="1" t="s">
        <v>11</v>
      </c>
      <c r="D10" s="1">
        <v>12</v>
      </c>
      <c r="E10" s="1">
        <v>1200</v>
      </c>
      <c r="F10" s="1">
        <f t="shared" si="0"/>
        <v>14400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2:18" x14ac:dyDescent="0.25">
      <c r="B11" s="1" t="s">
        <v>102</v>
      </c>
      <c r="C11" s="1" t="s">
        <v>12</v>
      </c>
      <c r="D11" s="1">
        <v>7</v>
      </c>
      <c r="E11" s="1">
        <v>1600</v>
      </c>
      <c r="F11" s="1">
        <f t="shared" si="0"/>
        <v>11200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2:18" x14ac:dyDescent="0.25">
      <c r="B12" s="1" t="s">
        <v>7</v>
      </c>
      <c r="C12" s="1" t="s">
        <v>13</v>
      </c>
      <c r="D12" s="1">
        <v>12</v>
      </c>
      <c r="E12" s="1">
        <v>152</v>
      </c>
      <c r="F12" s="1">
        <f t="shared" si="0"/>
        <v>1824</v>
      </c>
      <c r="G12" s="96"/>
      <c r="H12" s="96">
        <v>5</v>
      </c>
      <c r="I12" s="96">
        <v>365</v>
      </c>
      <c r="J12" s="96">
        <f>+I12*H12</f>
        <v>1825</v>
      </c>
      <c r="K12" s="96">
        <f>+J12/12</f>
        <v>152.08333333333334</v>
      </c>
      <c r="L12" s="96"/>
      <c r="M12" s="96"/>
      <c r="N12" s="96"/>
      <c r="O12" s="96"/>
      <c r="P12" s="96"/>
      <c r="Q12" s="96"/>
      <c r="R12" s="96"/>
    </row>
    <row r="13" spans="2:18" x14ac:dyDescent="0.25">
      <c r="B13" s="1" t="s">
        <v>103</v>
      </c>
      <c r="C13" s="1" t="s">
        <v>5</v>
      </c>
      <c r="D13" s="1">
        <v>12</v>
      </c>
      <c r="E13" s="1">
        <v>1200</v>
      </c>
      <c r="F13" s="1">
        <f t="shared" si="0"/>
        <v>14400</v>
      </c>
      <c r="G13" s="96"/>
      <c r="H13" s="96"/>
      <c r="I13" s="96"/>
      <c r="J13" s="96">
        <f>+J12*2</f>
        <v>3650</v>
      </c>
      <c r="K13" s="96"/>
      <c r="L13" s="96"/>
      <c r="M13" s="96"/>
      <c r="N13" s="96"/>
      <c r="O13" s="96"/>
      <c r="P13" s="96"/>
      <c r="Q13" s="96"/>
      <c r="R13" s="96"/>
    </row>
    <row r="14" spans="2:18" x14ac:dyDescent="0.25">
      <c r="B14" s="1" t="s">
        <v>104</v>
      </c>
      <c r="C14" s="1" t="s">
        <v>14</v>
      </c>
      <c r="D14" s="1">
        <v>12</v>
      </c>
      <c r="E14" s="1">
        <v>1320</v>
      </c>
      <c r="F14" s="1">
        <f t="shared" si="0"/>
        <v>15840</v>
      </c>
      <c r="G14" s="96"/>
      <c r="H14" s="96">
        <v>220</v>
      </c>
      <c r="I14" s="96">
        <f>+H14*6</f>
        <v>1320</v>
      </c>
      <c r="J14" s="96">
        <f>+J12*12</f>
        <v>21900</v>
      </c>
      <c r="K14" s="96"/>
      <c r="L14" s="96"/>
      <c r="M14" s="96"/>
      <c r="N14" s="96"/>
      <c r="O14" s="96"/>
      <c r="P14" s="96"/>
      <c r="Q14" s="96"/>
      <c r="R14" s="96"/>
    </row>
    <row r="15" spans="2:18" x14ac:dyDescent="0.25">
      <c r="B15" s="1" t="s">
        <v>105</v>
      </c>
      <c r="C15" s="1" t="s">
        <v>10</v>
      </c>
      <c r="D15" s="1">
        <v>12</v>
      </c>
      <c r="E15" s="1">
        <v>700</v>
      </c>
      <c r="F15" s="1">
        <f t="shared" si="0"/>
        <v>8400</v>
      </c>
      <c r="G15" s="96"/>
      <c r="H15" s="96"/>
      <c r="I15" s="96"/>
      <c r="J15" s="96">
        <f>+J14+J13</f>
        <v>25550</v>
      </c>
      <c r="K15" s="96"/>
      <c r="L15" s="96"/>
      <c r="M15" s="96"/>
      <c r="N15" s="96"/>
      <c r="O15" s="96"/>
      <c r="P15" s="96"/>
      <c r="Q15" s="96"/>
      <c r="R15" s="96"/>
    </row>
    <row r="16" spans="2:18" x14ac:dyDescent="0.25">
      <c r="B16" s="5" t="s">
        <v>15</v>
      </c>
      <c r="C16" s="5"/>
      <c r="D16" s="5"/>
      <c r="E16" s="5"/>
      <c r="F16" s="5">
        <f>SUM(F8:F15)</f>
        <v>294616</v>
      </c>
      <c r="G16" s="96"/>
      <c r="H16" s="96"/>
      <c r="I16" s="96"/>
      <c r="J16" s="96">
        <f>+J15/2</f>
        <v>12775</v>
      </c>
      <c r="K16" s="96"/>
      <c r="L16" s="96"/>
      <c r="M16" s="96"/>
      <c r="N16" s="96"/>
      <c r="O16" s="96"/>
      <c r="P16" s="96"/>
      <c r="Q16" s="96"/>
      <c r="R16" s="96"/>
    </row>
    <row r="17" spans="5:18" x14ac:dyDescent="0.25">
      <c r="E17" s="96"/>
      <c r="F17" s="99">
        <f>+F16/'Ingresos '!D10</f>
        <v>5.6831790123456791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5:18" x14ac:dyDescent="0.25">
      <c r="E18" s="96"/>
      <c r="F18" s="96"/>
      <c r="G18" s="96"/>
      <c r="H18" s="96">
        <f>+F16+J9</f>
        <v>339616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5:18" x14ac:dyDescent="0.25">
      <c r="E19" s="96"/>
      <c r="F19" s="96">
        <f>+F17-H19</f>
        <v>-0.86805555555555536</v>
      </c>
      <c r="G19" s="96"/>
      <c r="H19" s="97">
        <f>+H18/'Ingresos '!D10</f>
        <v>6.5512345679012345</v>
      </c>
      <c r="I19" s="98">
        <f>+H19-F17</f>
        <v>0.86805555555555536</v>
      </c>
      <c r="J19" s="97">
        <f>+H19+F17</f>
        <v>12.234413580246914</v>
      </c>
      <c r="K19" s="96"/>
      <c r="L19" s="96"/>
      <c r="M19" s="96"/>
      <c r="N19" s="96"/>
      <c r="O19" s="96"/>
      <c r="P19" s="96"/>
      <c r="Q19" s="96"/>
      <c r="R19" s="96"/>
    </row>
    <row r="20" spans="5:18" x14ac:dyDescent="0.25"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5:R12"/>
  <sheetViews>
    <sheetView topLeftCell="B1" workbookViewId="0">
      <selection activeCell="C5" sqref="C5"/>
    </sheetView>
  </sheetViews>
  <sheetFormatPr baseColWidth="10" defaultRowHeight="15" x14ac:dyDescent="0.25"/>
  <cols>
    <col min="3" max="3" width="29.5703125" bestFit="1" customWidth="1"/>
    <col min="4" max="6" width="11.5703125" bestFit="1" customWidth="1"/>
    <col min="7" max="8" width="13.140625" bestFit="1" customWidth="1"/>
  </cols>
  <sheetData>
    <row r="5" spans="3:18" ht="18" x14ac:dyDescent="0.25">
      <c r="C5" s="115" t="s">
        <v>84</v>
      </c>
      <c r="D5" s="117"/>
      <c r="E5" s="117"/>
      <c r="F5" s="118"/>
      <c r="G5" s="118"/>
      <c r="H5" s="118"/>
    </row>
    <row r="6" spans="3:18" ht="15.75" x14ac:dyDescent="0.25">
      <c r="C6" s="119" t="s">
        <v>87</v>
      </c>
      <c r="D6" s="120"/>
      <c r="E6" s="120"/>
      <c r="F6" s="94"/>
    </row>
    <row r="8" spans="3:18" x14ac:dyDescent="0.25">
      <c r="C8" t="s">
        <v>17</v>
      </c>
    </row>
    <row r="9" spans="3:18" x14ac:dyDescent="0.25">
      <c r="C9" s="6" t="s">
        <v>18</v>
      </c>
      <c r="D9" s="6" t="s">
        <v>20</v>
      </c>
      <c r="E9" s="6" t="s">
        <v>21</v>
      </c>
      <c r="F9" s="6" t="s">
        <v>22</v>
      </c>
      <c r="G9" s="6" t="s">
        <v>23</v>
      </c>
      <c r="H9" s="6" t="s">
        <v>24</v>
      </c>
    </row>
    <row r="10" spans="3:18" x14ac:dyDescent="0.25">
      <c r="C10" s="1" t="s">
        <v>19</v>
      </c>
      <c r="D10" s="93">
        <v>51840</v>
      </c>
      <c r="E10" s="93">
        <f>+D10*1.05</f>
        <v>54432</v>
      </c>
      <c r="F10" s="93">
        <f t="shared" ref="F10:H10" si="0">+E10*1.05</f>
        <v>57153.600000000006</v>
      </c>
      <c r="G10" s="93">
        <f t="shared" si="0"/>
        <v>60011.280000000006</v>
      </c>
      <c r="H10" s="93">
        <f t="shared" si="0"/>
        <v>63011.844000000012</v>
      </c>
      <c r="I10" s="121">
        <f>SUM(D10:H10)</f>
        <v>286448.72400000005</v>
      </c>
      <c r="R10">
        <f>+Q10*P10</f>
        <v>0</v>
      </c>
    </row>
    <row r="11" spans="3:18" x14ac:dyDescent="0.25">
      <c r="C11" s="1" t="s">
        <v>25</v>
      </c>
      <c r="D11" s="90">
        <v>14</v>
      </c>
      <c r="E11" s="90">
        <f>+D11*1.083</f>
        <v>15.161999999999999</v>
      </c>
      <c r="F11" s="90">
        <f t="shared" ref="F11:H11" si="1">+E11*1.083</f>
        <v>16.420445999999998</v>
      </c>
      <c r="G11" s="90">
        <f t="shared" si="1"/>
        <v>17.783343017999997</v>
      </c>
      <c r="H11" s="90">
        <f t="shared" si="1"/>
        <v>19.259360488493996</v>
      </c>
    </row>
    <row r="12" spans="3:18" x14ac:dyDescent="0.25">
      <c r="C12" s="4" t="s">
        <v>15</v>
      </c>
      <c r="D12" s="92">
        <f>+D11*D10</f>
        <v>725760</v>
      </c>
      <c r="E12" s="92">
        <f t="shared" ref="E12:H12" si="2">+E11*E10</f>
        <v>825297.98399999994</v>
      </c>
      <c r="F12" s="92">
        <f t="shared" si="2"/>
        <v>938487.60250559996</v>
      </c>
      <c r="G12" s="92">
        <f t="shared" si="2"/>
        <v>1067201.177189243</v>
      </c>
      <c r="H12" s="92">
        <f t="shared" si="2"/>
        <v>1213567.8186407478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9"/>
  <sheetViews>
    <sheetView workbookViewId="0">
      <selection activeCell="G4" sqref="G4"/>
    </sheetView>
  </sheetViews>
  <sheetFormatPr baseColWidth="10" defaultRowHeight="15" x14ac:dyDescent="0.25"/>
  <cols>
    <col min="2" max="2" width="16.85546875" customWidth="1"/>
  </cols>
  <sheetData>
    <row r="1" spans="2:7" ht="18.75" x14ac:dyDescent="0.3">
      <c r="B1" s="122" t="s">
        <v>89</v>
      </c>
      <c r="C1" s="123"/>
      <c r="D1" s="123"/>
      <c r="E1" s="124"/>
      <c r="F1" s="124"/>
      <c r="G1" s="125"/>
    </row>
    <row r="2" spans="2:7" x14ac:dyDescent="0.25">
      <c r="B2" s="94" t="s">
        <v>106</v>
      </c>
      <c r="C2" s="94"/>
      <c r="D2" s="94"/>
      <c r="F2" s="94"/>
      <c r="G2" s="125"/>
    </row>
    <row r="3" spans="2:7" x14ac:dyDescent="0.25">
      <c r="B3" s="94" t="s">
        <v>90</v>
      </c>
      <c r="C3" s="94"/>
      <c r="D3" s="94"/>
      <c r="F3" s="94"/>
    </row>
    <row r="4" spans="2:7" x14ac:dyDescent="0.25">
      <c r="B4" t="s">
        <v>88</v>
      </c>
    </row>
    <row r="5" spans="2:7" x14ac:dyDescent="0.25">
      <c r="B5" s="72" t="s">
        <v>63</v>
      </c>
      <c r="C5" s="72"/>
      <c r="D5" s="72"/>
      <c r="E5" s="73"/>
      <c r="F5" s="73"/>
      <c r="G5" s="73"/>
    </row>
    <row r="6" spans="2:7" x14ac:dyDescent="0.25">
      <c r="B6" s="74"/>
      <c r="C6" s="74"/>
      <c r="D6" s="74"/>
      <c r="E6" s="73"/>
      <c r="F6" s="73"/>
      <c r="G6" s="73"/>
    </row>
    <row r="7" spans="2:7" x14ac:dyDescent="0.25">
      <c r="B7" s="75" t="s">
        <v>64</v>
      </c>
      <c r="C7" s="76">
        <f>+Inversion!G10</f>
        <v>287000</v>
      </c>
      <c r="D7" s="75"/>
      <c r="E7" s="73"/>
      <c r="F7" s="73"/>
      <c r="G7" s="73"/>
    </row>
    <row r="8" spans="2:7" x14ac:dyDescent="0.25">
      <c r="B8" s="75" t="s">
        <v>65</v>
      </c>
      <c r="C8" s="77">
        <v>5</v>
      </c>
      <c r="D8" s="78" t="s">
        <v>66</v>
      </c>
      <c r="E8" s="73"/>
      <c r="F8" s="79"/>
      <c r="G8" s="80"/>
    </row>
    <row r="9" spans="2:7" x14ac:dyDescent="0.25">
      <c r="B9" s="75" t="s">
        <v>67</v>
      </c>
      <c r="C9" s="81">
        <v>0.12</v>
      </c>
      <c r="D9" s="78" t="s">
        <v>66</v>
      </c>
      <c r="E9" s="73"/>
      <c r="F9" s="79"/>
      <c r="G9" s="80"/>
    </row>
    <row r="10" spans="2:7" x14ac:dyDescent="0.25">
      <c r="B10" s="73"/>
      <c r="C10" s="137"/>
      <c r="D10" s="138"/>
      <c r="E10" s="79"/>
      <c r="F10" s="79"/>
      <c r="G10" s="80"/>
    </row>
    <row r="11" spans="2:7" x14ac:dyDescent="0.25">
      <c r="B11" s="73"/>
      <c r="C11" s="137"/>
      <c r="D11" s="138"/>
      <c r="E11" s="79"/>
      <c r="F11" s="79"/>
      <c r="G11" s="80"/>
    </row>
    <row r="12" spans="2:7" x14ac:dyDescent="0.25">
      <c r="B12" s="139" t="s">
        <v>91</v>
      </c>
      <c r="C12" s="140"/>
      <c r="D12" s="73"/>
      <c r="E12" s="73"/>
      <c r="F12" s="80"/>
      <c r="G12" s="82"/>
    </row>
    <row r="13" spans="2:7" x14ac:dyDescent="0.25">
      <c r="B13" s="83" t="s">
        <v>68</v>
      </c>
      <c r="C13" s="84" t="s">
        <v>69</v>
      </c>
      <c r="D13" s="83" t="s">
        <v>70</v>
      </c>
      <c r="E13" s="83" t="s">
        <v>71</v>
      </c>
      <c r="F13" s="84" t="s">
        <v>72</v>
      </c>
      <c r="G13" s="85" t="s">
        <v>73</v>
      </c>
    </row>
    <row r="14" spans="2:7" x14ac:dyDescent="0.25">
      <c r="B14" s="75">
        <v>1</v>
      </c>
      <c r="C14" s="86">
        <f>+C7</f>
        <v>287000</v>
      </c>
      <c r="D14" s="89">
        <f>+C7/C8</f>
        <v>57400</v>
      </c>
      <c r="E14" s="89">
        <f>+C14*C9</f>
        <v>34440</v>
      </c>
      <c r="F14" s="87">
        <f>+E14+D14</f>
        <v>91840</v>
      </c>
      <c r="G14" s="88">
        <f>+C14-D14</f>
        <v>229600</v>
      </c>
    </row>
    <row r="15" spans="2:7" x14ac:dyDescent="0.25">
      <c r="B15" s="75">
        <v>2</v>
      </c>
      <c r="C15" s="86">
        <f>+C14-D15</f>
        <v>229600</v>
      </c>
      <c r="D15" s="89">
        <f>+D14</f>
        <v>57400</v>
      </c>
      <c r="E15" s="89">
        <f>+C15*C9</f>
        <v>27552</v>
      </c>
      <c r="F15" s="87">
        <f t="shared" ref="F15:F19" si="0">+E15+D15</f>
        <v>84952</v>
      </c>
      <c r="G15" s="88">
        <f t="shared" ref="G15:G18" si="1">+C15-D15</f>
        <v>172200</v>
      </c>
    </row>
    <row r="16" spans="2:7" x14ac:dyDescent="0.25">
      <c r="B16" s="75">
        <v>3</v>
      </c>
      <c r="C16" s="86">
        <f t="shared" ref="C16:C19" si="2">+C15-D16</f>
        <v>172200</v>
      </c>
      <c r="D16" s="89">
        <f t="shared" ref="D16:D18" si="3">+D15</f>
        <v>57400</v>
      </c>
      <c r="E16" s="90">
        <f>+C16*C9</f>
        <v>20664</v>
      </c>
      <c r="F16" s="87">
        <f t="shared" si="0"/>
        <v>78064</v>
      </c>
      <c r="G16" s="88">
        <f t="shared" si="1"/>
        <v>114800</v>
      </c>
    </row>
    <row r="17" spans="2:7" x14ac:dyDescent="0.25">
      <c r="B17" s="1">
        <v>4</v>
      </c>
      <c r="C17" s="86">
        <f t="shared" si="2"/>
        <v>114800</v>
      </c>
      <c r="D17" s="89">
        <f t="shared" si="3"/>
        <v>57400</v>
      </c>
      <c r="E17" s="90">
        <f>+C17*C9</f>
        <v>13776</v>
      </c>
      <c r="F17" s="87">
        <f t="shared" si="0"/>
        <v>71176</v>
      </c>
      <c r="G17" s="88">
        <f t="shared" si="1"/>
        <v>57400</v>
      </c>
    </row>
    <row r="18" spans="2:7" x14ac:dyDescent="0.25">
      <c r="B18" s="1">
        <v>5</v>
      </c>
      <c r="C18" s="86">
        <f t="shared" si="2"/>
        <v>57400</v>
      </c>
      <c r="D18" s="89">
        <f t="shared" si="3"/>
        <v>57400</v>
      </c>
      <c r="E18" s="90">
        <f>+C18*C9</f>
        <v>6888</v>
      </c>
      <c r="F18" s="87">
        <f t="shared" si="0"/>
        <v>64288</v>
      </c>
      <c r="G18" s="88">
        <f t="shared" si="1"/>
        <v>0</v>
      </c>
    </row>
    <row r="19" spans="2:7" x14ac:dyDescent="0.25">
      <c r="B19" s="1"/>
      <c r="C19" s="86">
        <f t="shared" si="2"/>
        <v>-229600</v>
      </c>
      <c r="D19" s="89">
        <f>SUM(D14:D18)</f>
        <v>287000</v>
      </c>
      <c r="E19" s="56">
        <f>SUM(E14:E18)</f>
        <v>103320</v>
      </c>
      <c r="F19" s="87">
        <f t="shared" si="0"/>
        <v>390320</v>
      </c>
      <c r="G19" s="8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F64"/>
  <sheetViews>
    <sheetView workbookViewId="0">
      <selection activeCell="B14" sqref="B14"/>
    </sheetView>
  </sheetViews>
  <sheetFormatPr baseColWidth="10" defaultRowHeight="15" x14ac:dyDescent="0.25"/>
  <cols>
    <col min="2" max="2" width="28" bestFit="1" customWidth="1"/>
    <col min="3" max="3" width="15.5703125" customWidth="1"/>
    <col min="4" max="4" width="11.5703125" bestFit="1" customWidth="1"/>
    <col min="7" max="7" width="12" bestFit="1" customWidth="1"/>
    <col min="8" max="8" width="11.5703125" bestFit="1" customWidth="1"/>
    <col min="9" max="12" width="11.42578125" style="94"/>
    <col min="13" max="13" width="27.85546875" bestFit="1" customWidth="1"/>
    <col min="14" max="14" width="14" customWidth="1"/>
    <col min="15" max="18" width="12.42578125" bestFit="1" customWidth="1"/>
    <col min="19" max="19" width="12.5703125" customWidth="1"/>
    <col min="21" max="21" width="29.28515625" customWidth="1"/>
    <col min="22" max="22" width="16.7109375" customWidth="1"/>
    <col min="26" max="27" width="12.42578125" bestFit="1" customWidth="1"/>
  </cols>
  <sheetData>
    <row r="1" spans="2:27" x14ac:dyDescent="0.25">
      <c r="B1" s="139" t="s">
        <v>91</v>
      </c>
      <c r="M1" s="139" t="s">
        <v>91</v>
      </c>
      <c r="U1" s="139" t="s">
        <v>91</v>
      </c>
    </row>
    <row r="2" spans="2:27" ht="18.75" x14ac:dyDescent="0.3">
      <c r="B2" s="143" t="s">
        <v>93</v>
      </c>
      <c r="C2" s="143"/>
      <c r="D2" s="143"/>
      <c r="E2" s="143"/>
      <c r="F2" s="143"/>
      <c r="G2" s="143"/>
      <c r="H2" s="143"/>
      <c r="M2" s="143" t="s">
        <v>93</v>
      </c>
      <c r="N2" s="143"/>
      <c r="O2" s="143"/>
      <c r="P2" s="143"/>
      <c r="Q2" s="143"/>
      <c r="R2" s="143"/>
      <c r="S2" s="143"/>
      <c r="U2" s="143" t="s">
        <v>93</v>
      </c>
      <c r="V2" s="143"/>
      <c r="W2" s="143"/>
      <c r="X2" s="143"/>
      <c r="Y2" s="143"/>
      <c r="Z2" s="143"/>
      <c r="AA2" s="143"/>
    </row>
    <row r="3" spans="2:27" x14ac:dyDescent="0.25">
      <c r="B3" s="7" t="s">
        <v>26</v>
      </c>
      <c r="C3" s="8"/>
      <c r="D3" s="8"/>
      <c r="E3" s="8"/>
      <c r="F3" s="8"/>
      <c r="G3" s="8"/>
      <c r="H3" s="9" t="s">
        <v>27</v>
      </c>
      <c r="I3" s="103"/>
      <c r="J3" s="103"/>
      <c r="K3" s="103"/>
      <c r="M3" s="100"/>
      <c r="N3" s="25">
        <v>1</v>
      </c>
      <c r="O3" s="25">
        <f>N3+1</f>
        <v>2</v>
      </c>
      <c r="P3" s="25">
        <f t="shared" ref="P3:R3" si="0">O3+1</f>
        <v>3</v>
      </c>
      <c r="Q3" s="25">
        <f t="shared" si="0"/>
        <v>4</v>
      </c>
      <c r="R3" s="25">
        <f t="shared" si="0"/>
        <v>5</v>
      </c>
      <c r="S3" s="101"/>
      <c r="U3" s="24"/>
      <c r="V3" s="25">
        <v>1</v>
      </c>
      <c r="W3" s="25">
        <f>V3+1</f>
        <v>2</v>
      </c>
      <c r="X3" s="25">
        <f t="shared" ref="X3" si="1">W3+1</f>
        <v>3</v>
      </c>
      <c r="Y3" s="25">
        <f t="shared" ref="Y3" si="2">X3+1</f>
        <v>4</v>
      </c>
      <c r="Z3" s="25">
        <f t="shared" ref="Z3" si="3">Y3+1</f>
        <v>5</v>
      </c>
      <c r="AA3" s="26"/>
    </row>
    <row r="4" spans="2:27" x14ac:dyDescent="0.25">
      <c r="B4" s="10"/>
      <c r="C4" s="11">
        <v>1</v>
      </c>
      <c r="D4" s="11">
        <f>C4+1</f>
        <v>2</v>
      </c>
      <c r="E4" s="11">
        <f t="shared" ref="E4:G4" si="4">D4+1</f>
        <v>3</v>
      </c>
      <c r="F4" s="11">
        <f t="shared" si="4"/>
        <v>4</v>
      </c>
      <c r="G4" s="11">
        <f t="shared" si="4"/>
        <v>5</v>
      </c>
      <c r="H4" s="12"/>
      <c r="I4" s="103"/>
      <c r="J4" s="103"/>
      <c r="K4" s="103"/>
      <c r="M4" s="27" t="s">
        <v>18</v>
      </c>
      <c r="N4" s="29">
        <f>+'Ingresos '!D12</f>
        <v>725760</v>
      </c>
      <c r="O4" s="29">
        <f>+'Ingresos '!E12</f>
        <v>825297.98399999994</v>
      </c>
      <c r="P4" s="29">
        <f>+'Ingresos '!F12</f>
        <v>938487.60250559996</v>
      </c>
      <c r="Q4" s="29">
        <f>+'Ingresos '!G12</f>
        <v>1067201.177189243</v>
      </c>
      <c r="R4" s="29">
        <f>+'Ingresos '!H12</f>
        <v>1213567.8186407478</v>
      </c>
      <c r="S4" s="30">
        <f>SUM(N4:R4)</f>
        <v>4770314.5823355904</v>
      </c>
      <c r="U4" s="27" t="s">
        <v>18</v>
      </c>
      <c r="V4" s="29">
        <f>+N4</f>
        <v>725760</v>
      </c>
      <c r="W4" s="29">
        <f t="shared" ref="W4:Z4" si="5">+O4</f>
        <v>825297.98399999994</v>
      </c>
      <c r="X4" s="29">
        <f t="shared" si="5"/>
        <v>938487.60250559996</v>
      </c>
      <c r="Y4" s="29">
        <f t="shared" si="5"/>
        <v>1067201.177189243</v>
      </c>
      <c r="Z4" s="29">
        <f t="shared" si="5"/>
        <v>1213567.8186407478</v>
      </c>
      <c r="AA4" s="30">
        <f>SUM(V4:Z4)</f>
        <v>4770314.5823355904</v>
      </c>
    </row>
    <row r="5" spans="2:27" x14ac:dyDescent="0.25">
      <c r="B5" s="13" t="s">
        <v>18</v>
      </c>
      <c r="C5" s="15">
        <f>+'Ingresos '!D12</f>
        <v>725760</v>
      </c>
      <c r="D5" s="15">
        <f>+'Ingresos '!E12</f>
        <v>825297.98399999994</v>
      </c>
      <c r="E5" s="15">
        <f>+'Ingresos '!F12</f>
        <v>938487.60250559996</v>
      </c>
      <c r="F5" s="15">
        <f>+'Ingresos '!G12</f>
        <v>1067201.177189243</v>
      </c>
      <c r="G5" s="15">
        <f>+'Ingresos '!H12</f>
        <v>1213567.8186407478</v>
      </c>
      <c r="H5" s="16">
        <f>SUM(C5:G5)</f>
        <v>4770314.5823355904</v>
      </c>
      <c r="I5" s="102"/>
      <c r="J5" s="102"/>
      <c r="K5" s="102"/>
      <c r="M5" s="27" t="s">
        <v>28</v>
      </c>
      <c r="N5" s="31">
        <f>SUM(N6:N10)</f>
        <v>480970</v>
      </c>
      <c r="O5" s="31">
        <f t="shared" ref="O5:R5" si="6">SUM(O6:O10)</f>
        <v>506379.78999999992</v>
      </c>
      <c r="P5" s="31">
        <f t="shared" si="6"/>
        <v>534470.29657000001</v>
      </c>
      <c r="Q5" s="31">
        <f t="shared" si="6"/>
        <v>565464.01918531</v>
      </c>
      <c r="R5" s="31">
        <f t="shared" si="6"/>
        <v>599601.92477769055</v>
      </c>
      <c r="S5" s="30">
        <f>SUM(N5:R5)</f>
        <v>2686886.0305330004</v>
      </c>
      <c r="U5" s="27" t="s">
        <v>28</v>
      </c>
      <c r="V5" s="31">
        <f>SUM(V6:V10)</f>
        <v>525938</v>
      </c>
      <c r="W5" s="31">
        <f t="shared" ref="W5:Z5" si="7">SUM(W6:W10)</f>
        <v>555080.13399999996</v>
      </c>
      <c r="X5" s="31">
        <f t="shared" si="7"/>
        <v>587212.76912199997</v>
      </c>
      <c r="Y5" s="31">
        <f t="shared" si="7"/>
        <v>622584.11695912597</v>
      </c>
      <c r="Z5" s="31">
        <f t="shared" si="7"/>
        <v>659090.81973201083</v>
      </c>
      <c r="AA5" s="30">
        <f>SUM(V5:Z5)</f>
        <v>2949905.839813137</v>
      </c>
    </row>
    <row r="6" spans="2:27" x14ac:dyDescent="0.25">
      <c r="B6" s="13" t="s">
        <v>28</v>
      </c>
      <c r="C6" s="17">
        <f>SUM(C7:C11)</f>
        <v>448850</v>
      </c>
      <c r="D6" s="17">
        <f>SUM(D7:D11)</f>
        <v>471593.82999999996</v>
      </c>
      <c r="E6" s="17">
        <f t="shared" ref="E6:G6" si="8">SUM(E7:E11)</f>
        <v>496797.10188999999</v>
      </c>
      <c r="F6" s="17">
        <f t="shared" si="8"/>
        <v>524663.94934686995</v>
      </c>
      <c r="G6" s="17">
        <f t="shared" si="8"/>
        <v>555415.44914266001</v>
      </c>
      <c r="H6" s="16">
        <f>SUM(C6:G6)</f>
        <v>2497320.3303795299</v>
      </c>
      <c r="I6" s="102"/>
      <c r="J6" s="102"/>
      <c r="K6" s="102"/>
      <c r="M6" s="27" t="s">
        <v>29</v>
      </c>
      <c r="N6" s="32">
        <f>+C7</f>
        <v>294616</v>
      </c>
      <c r="O6" s="32">
        <f>+N6*1.083</f>
        <v>319069.12799999997</v>
      </c>
      <c r="P6" s="32">
        <f t="shared" ref="P6:R6" si="9">+O6*1.083</f>
        <v>345551.86562399997</v>
      </c>
      <c r="Q6" s="32">
        <f t="shared" si="9"/>
        <v>374232.67047079193</v>
      </c>
      <c r="R6" s="32">
        <f t="shared" si="9"/>
        <v>405293.98211986764</v>
      </c>
      <c r="S6" s="30">
        <f t="shared" ref="S6:S13" si="10">SUM(N6:R6)</f>
        <v>1738763.6462146596</v>
      </c>
      <c r="U6" s="27" t="s">
        <v>29</v>
      </c>
      <c r="V6" s="32">
        <f>+N6</f>
        <v>294616</v>
      </c>
      <c r="W6" s="32">
        <f>+V6*1.083</f>
        <v>319069.12799999997</v>
      </c>
      <c r="X6" s="32">
        <f t="shared" ref="X6:Z6" si="11">+W6*1.083</f>
        <v>345551.86562399997</v>
      </c>
      <c r="Y6" s="32">
        <f t="shared" si="11"/>
        <v>374232.67047079193</v>
      </c>
      <c r="Z6" s="32">
        <f t="shared" si="11"/>
        <v>405293.98211986764</v>
      </c>
      <c r="AA6" s="30">
        <f t="shared" ref="AA6:AA13" si="12">SUM(V6:Z6)</f>
        <v>1738763.6462146596</v>
      </c>
    </row>
    <row r="7" spans="2:27" x14ac:dyDescent="0.25">
      <c r="B7" s="13" t="s">
        <v>29</v>
      </c>
      <c r="C7" s="18">
        <f>+Egresos!F16</f>
        <v>294616</v>
      </c>
      <c r="D7" s="18">
        <f>+C7*1.083</f>
        <v>319069.12799999997</v>
      </c>
      <c r="E7" s="18">
        <f t="shared" ref="E7:G7" si="13">+D7*1.083</f>
        <v>345551.86562399997</v>
      </c>
      <c r="F7" s="18">
        <f t="shared" si="13"/>
        <v>374232.67047079193</v>
      </c>
      <c r="G7" s="18">
        <f t="shared" si="13"/>
        <v>405293.98211986764</v>
      </c>
      <c r="H7" s="16">
        <f t="shared" ref="H7:H14" si="14">SUM(C7:G7)</f>
        <v>1738763.6462146596</v>
      </c>
      <c r="I7" s="102"/>
      <c r="J7" s="130" t="s">
        <v>81</v>
      </c>
      <c r="K7" s="131">
        <f>L7/L$10</f>
        <v>0.8283641680256425</v>
      </c>
      <c r="L7" s="113">
        <f>C7</f>
        <v>294616</v>
      </c>
      <c r="M7" s="129" t="s">
        <v>30</v>
      </c>
      <c r="N7" s="32">
        <f>+C8</f>
        <v>22500</v>
      </c>
      <c r="O7" s="32">
        <f>+D8</f>
        <v>24367.5</v>
      </c>
      <c r="P7" s="32">
        <f>+E8</f>
        <v>26390.002499999999</v>
      </c>
      <c r="Q7" s="32">
        <f>+F8</f>
        <v>28580.372707499999</v>
      </c>
      <c r="R7" s="32">
        <f>+G8</f>
        <v>30952.543642222499</v>
      </c>
      <c r="S7" s="30">
        <f t="shared" si="10"/>
        <v>132790.41884972251</v>
      </c>
      <c r="U7" s="27" t="s">
        <v>30</v>
      </c>
      <c r="V7" s="32">
        <f>+N7</f>
        <v>22500</v>
      </c>
      <c r="W7" s="32">
        <f t="shared" ref="W7:Z8" si="15">+O7</f>
        <v>24367.5</v>
      </c>
      <c r="X7" s="32">
        <f t="shared" si="15"/>
        <v>26390.002499999999</v>
      </c>
      <c r="Y7" s="32">
        <f t="shared" si="15"/>
        <v>28580.372707499999</v>
      </c>
      <c r="Z7" s="32">
        <f>+Y7</f>
        <v>28580.372707499999</v>
      </c>
      <c r="AA7" s="30">
        <f t="shared" si="12"/>
        <v>130418.24791500001</v>
      </c>
    </row>
    <row r="8" spans="2:27" x14ac:dyDescent="0.25">
      <c r="B8" s="13" t="s">
        <v>30</v>
      </c>
      <c r="C8" s="18">
        <v>22500</v>
      </c>
      <c r="D8" s="18">
        <f t="shared" ref="D8:G8" si="16">+C8*1.083</f>
        <v>24367.5</v>
      </c>
      <c r="E8" s="18">
        <f t="shared" si="16"/>
        <v>26390.002499999999</v>
      </c>
      <c r="F8" s="18">
        <f t="shared" si="16"/>
        <v>28580.372707499999</v>
      </c>
      <c r="G8" s="18">
        <f t="shared" si="16"/>
        <v>30952.543642222499</v>
      </c>
      <c r="H8" s="16">
        <f t="shared" si="14"/>
        <v>132790.41884972251</v>
      </c>
      <c r="I8" s="102"/>
      <c r="J8" s="130" t="s">
        <v>82</v>
      </c>
      <c r="K8" s="131">
        <f t="shared" ref="K8:K9" si="17">L8/L$10</f>
        <v>6.3262666591688693E-2</v>
      </c>
      <c r="L8" s="113">
        <f>C8</f>
        <v>22500</v>
      </c>
      <c r="M8" s="129" t="s">
        <v>31</v>
      </c>
      <c r="N8" s="32">
        <f>+C9</f>
        <v>1350</v>
      </c>
      <c r="O8" s="32">
        <f>+N8*1.083</f>
        <v>1462.05</v>
      </c>
      <c r="P8" s="32">
        <f t="shared" ref="P8:R8" si="18">+O8*1.083</f>
        <v>1583.4001499999999</v>
      </c>
      <c r="Q8" s="32">
        <f t="shared" si="18"/>
        <v>1714.8223624499999</v>
      </c>
      <c r="R8" s="32">
        <f t="shared" si="18"/>
        <v>1857.1526185333498</v>
      </c>
      <c r="S8" s="30">
        <f t="shared" si="10"/>
        <v>7967.4251309833498</v>
      </c>
      <c r="U8" s="27" t="s">
        <v>31</v>
      </c>
      <c r="V8" s="32">
        <f>+N8</f>
        <v>1350</v>
      </c>
      <c r="W8" s="32">
        <f t="shared" si="15"/>
        <v>1462.05</v>
      </c>
      <c r="X8" s="32">
        <f t="shared" si="15"/>
        <v>1583.4001499999999</v>
      </c>
      <c r="Y8" s="32">
        <f t="shared" si="15"/>
        <v>1714.8223624499999</v>
      </c>
      <c r="Z8" s="32">
        <f t="shared" si="15"/>
        <v>1857.1526185333498</v>
      </c>
      <c r="AA8" s="30">
        <f t="shared" si="12"/>
        <v>7967.4251309833498</v>
      </c>
    </row>
    <row r="9" spans="2:27" x14ac:dyDescent="0.25">
      <c r="B9" s="13" t="s">
        <v>31</v>
      </c>
      <c r="C9" s="18">
        <f>+'[1]1. PLAN DE INVERSIÓN'!G7</f>
        <v>1350</v>
      </c>
      <c r="D9" s="18">
        <f t="shared" ref="D9:G9" si="19">+C9*1.083</f>
        <v>1462.05</v>
      </c>
      <c r="E9" s="18">
        <f t="shared" si="19"/>
        <v>1583.4001499999999</v>
      </c>
      <c r="F9" s="18">
        <f t="shared" si="19"/>
        <v>1714.8223624499999</v>
      </c>
      <c r="G9" s="18">
        <f t="shared" si="19"/>
        <v>1857.1526185333498</v>
      </c>
      <c r="H9" s="16">
        <f t="shared" si="14"/>
        <v>7967.4251309833498</v>
      </c>
      <c r="I9" s="102"/>
      <c r="J9" s="130" t="s">
        <v>83</v>
      </c>
      <c r="K9" s="131">
        <f t="shared" si="17"/>
        <v>0.10837316538266883</v>
      </c>
      <c r="L9" s="113">
        <f>C10</f>
        <v>38544</v>
      </c>
      <c r="M9" s="129" t="s">
        <v>107</v>
      </c>
      <c r="N9" s="32">
        <v>70664</v>
      </c>
      <c r="O9" s="32">
        <f>+N9*1.083</f>
        <v>76529.111999999994</v>
      </c>
      <c r="P9" s="32">
        <f t="shared" ref="P9:R9" si="20">+O9*1.083</f>
        <v>82881.028295999989</v>
      </c>
      <c r="Q9" s="32">
        <f t="shared" si="20"/>
        <v>89760.153644567981</v>
      </c>
      <c r="R9" s="32">
        <f t="shared" si="20"/>
        <v>97210.246397067123</v>
      </c>
      <c r="S9" s="30">
        <f t="shared" si="10"/>
        <v>417044.54033763509</v>
      </c>
      <c r="U9" s="27" t="s">
        <v>108</v>
      </c>
      <c r="V9" s="32">
        <v>115632</v>
      </c>
      <c r="W9" s="32">
        <f>+V9*1.083</f>
        <v>125229.45599999999</v>
      </c>
      <c r="X9" s="32">
        <f t="shared" ref="X9:Z9" si="21">+W9*1.083</f>
        <v>135623.500848</v>
      </c>
      <c r="Y9" s="32">
        <f t="shared" si="21"/>
        <v>146880.251418384</v>
      </c>
      <c r="Z9" s="32">
        <f t="shared" si="21"/>
        <v>159071.31228610987</v>
      </c>
      <c r="AA9" s="30">
        <f t="shared" si="12"/>
        <v>682436.52055249386</v>
      </c>
    </row>
    <row r="10" spans="2:27" x14ac:dyDescent="0.25">
      <c r="B10" s="13" t="s">
        <v>109</v>
      </c>
      <c r="C10" s="18">
        <v>38544</v>
      </c>
      <c r="D10" s="18">
        <f t="shared" ref="D10:G10" si="22">+C10*1.083</f>
        <v>41743.152000000002</v>
      </c>
      <c r="E10" s="18">
        <f t="shared" si="22"/>
        <v>45207.833616000004</v>
      </c>
      <c r="F10" s="18">
        <f t="shared" si="22"/>
        <v>48960.083806128001</v>
      </c>
      <c r="G10" s="18">
        <f t="shared" si="22"/>
        <v>53023.77076203662</v>
      </c>
      <c r="H10" s="16">
        <f t="shared" si="14"/>
        <v>227478.84018416461</v>
      </c>
      <c r="I10" s="105"/>
      <c r="J10" s="130"/>
      <c r="K10" s="130"/>
      <c r="L10" s="113">
        <f>SUM(L7:L9)</f>
        <v>355660</v>
      </c>
      <c r="M10" s="129" t="s">
        <v>32</v>
      </c>
      <c r="N10" s="33">
        <f>+C11</f>
        <v>91840</v>
      </c>
      <c r="O10" s="33">
        <f>+D11</f>
        <v>84952</v>
      </c>
      <c r="P10" s="33">
        <f>+E11</f>
        <v>78064</v>
      </c>
      <c r="Q10" s="33">
        <f>+F11</f>
        <v>71176</v>
      </c>
      <c r="R10" s="33">
        <f>+G11</f>
        <v>64288</v>
      </c>
      <c r="S10" s="30">
        <f t="shared" si="10"/>
        <v>390320</v>
      </c>
      <c r="U10" s="27" t="s">
        <v>32</v>
      </c>
      <c r="V10" s="33">
        <f>+N10</f>
        <v>91840</v>
      </c>
      <c r="W10" s="33">
        <f t="shared" ref="W10:Z10" si="23">+O10</f>
        <v>84952</v>
      </c>
      <c r="X10" s="33">
        <f t="shared" si="23"/>
        <v>78064</v>
      </c>
      <c r="Y10" s="33">
        <f t="shared" si="23"/>
        <v>71176</v>
      </c>
      <c r="Z10" s="33">
        <f t="shared" si="23"/>
        <v>64288</v>
      </c>
      <c r="AA10" s="30">
        <f t="shared" si="12"/>
        <v>390320</v>
      </c>
    </row>
    <row r="11" spans="2:27" x14ac:dyDescent="0.25">
      <c r="B11" s="13" t="s">
        <v>32</v>
      </c>
      <c r="C11" s="19">
        <f>+'Servicio de la deuda'!F14</f>
        <v>91840</v>
      </c>
      <c r="D11" s="19">
        <f>+'Servicio de la deuda'!F15</f>
        <v>84952</v>
      </c>
      <c r="E11" s="19">
        <f>+'Servicio de la deuda'!F16</f>
        <v>78064</v>
      </c>
      <c r="F11" s="19">
        <f>+'Servicio de la deuda'!F17</f>
        <v>71176</v>
      </c>
      <c r="G11" s="19">
        <f>+'Servicio de la deuda'!F18</f>
        <v>64288</v>
      </c>
      <c r="H11" s="16">
        <f t="shared" si="14"/>
        <v>390320</v>
      </c>
      <c r="I11" s="102"/>
      <c r="J11" s="132"/>
      <c r="K11" s="132"/>
      <c r="L11" s="111"/>
      <c r="M11" s="129" t="s">
        <v>33</v>
      </c>
      <c r="N11" s="32">
        <f>+N4-N5</f>
        <v>244790</v>
      </c>
      <c r="O11" s="32">
        <f t="shared" ref="O11:R11" si="24">+O4-O5</f>
        <v>318918.19400000002</v>
      </c>
      <c r="P11" s="32">
        <f t="shared" si="24"/>
        <v>404017.30593559996</v>
      </c>
      <c r="Q11" s="32">
        <f t="shared" si="24"/>
        <v>501737.15800393303</v>
      </c>
      <c r="R11" s="32">
        <f t="shared" si="24"/>
        <v>613965.89386305725</v>
      </c>
      <c r="S11" s="30">
        <f t="shared" si="10"/>
        <v>2083428.5518025903</v>
      </c>
      <c r="U11" s="27" t="s">
        <v>33</v>
      </c>
      <c r="V11" s="32">
        <f>+V4-V5</f>
        <v>199822</v>
      </c>
      <c r="W11" s="32">
        <f t="shared" ref="W11:Z11" si="25">+W4-W5</f>
        <v>270217.84999999998</v>
      </c>
      <c r="X11" s="32">
        <f t="shared" si="25"/>
        <v>351274.83338359999</v>
      </c>
      <c r="Y11" s="32">
        <f t="shared" si="25"/>
        <v>444617.06023011706</v>
      </c>
      <c r="Z11" s="32">
        <f t="shared" si="25"/>
        <v>554476.99890873698</v>
      </c>
      <c r="AA11" s="30">
        <f t="shared" si="12"/>
        <v>1820408.7425224541</v>
      </c>
    </row>
    <row r="12" spans="2:27" x14ac:dyDescent="0.25">
      <c r="B12" s="13" t="s">
        <v>33</v>
      </c>
      <c r="C12" s="18">
        <f>+C5-C6</f>
        <v>276910</v>
      </c>
      <c r="D12" s="18">
        <f>+D5-D6</f>
        <v>353704.15399999998</v>
      </c>
      <c r="E12" s="18">
        <f t="shared" ref="E12:G12" si="26">+E5-E6</f>
        <v>441690.50061559997</v>
      </c>
      <c r="F12" s="18">
        <f t="shared" si="26"/>
        <v>542537.22784237307</v>
      </c>
      <c r="G12" s="18">
        <f t="shared" si="26"/>
        <v>658152.36949808779</v>
      </c>
      <c r="H12" s="16">
        <f t="shared" si="14"/>
        <v>2272994.2519560605</v>
      </c>
      <c r="I12" s="102"/>
      <c r="J12" s="132"/>
      <c r="K12" s="132"/>
      <c r="L12" s="111"/>
      <c r="M12" s="129" t="s">
        <v>34</v>
      </c>
      <c r="N12" s="28">
        <f>+N11*0.25</f>
        <v>61197.5</v>
      </c>
      <c r="O12" s="28">
        <f t="shared" ref="O12:R12" si="27">+O11*0.25</f>
        <v>79729.548500000004</v>
      </c>
      <c r="P12" s="28">
        <f t="shared" si="27"/>
        <v>101004.32648389999</v>
      </c>
      <c r="Q12" s="28">
        <f t="shared" si="27"/>
        <v>125434.28950098326</v>
      </c>
      <c r="R12" s="28">
        <f t="shared" si="27"/>
        <v>153491.47346576431</v>
      </c>
      <c r="S12" s="30">
        <f t="shared" si="10"/>
        <v>520857.13795064756</v>
      </c>
      <c r="U12" s="27" t="s">
        <v>34</v>
      </c>
      <c r="V12" s="28">
        <f>+V11*0.25</f>
        <v>49955.5</v>
      </c>
      <c r="W12" s="28">
        <f t="shared" ref="W12:Z12" si="28">+W11*0.25</f>
        <v>67554.462499999994</v>
      </c>
      <c r="X12" s="28">
        <f t="shared" si="28"/>
        <v>87818.708345899999</v>
      </c>
      <c r="Y12" s="28">
        <f t="shared" si="28"/>
        <v>111154.26505752926</v>
      </c>
      <c r="Z12" s="28">
        <f t="shared" si="28"/>
        <v>138619.24972718424</v>
      </c>
      <c r="AA12" s="30">
        <f t="shared" si="12"/>
        <v>455102.18563061353</v>
      </c>
    </row>
    <row r="13" spans="2:27" x14ac:dyDescent="0.25">
      <c r="B13" s="13" t="s">
        <v>34</v>
      </c>
      <c r="C13" s="14">
        <f>+C12*0.25</f>
        <v>69227.5</v>
      </c>
      <c r="D13" s="14">
        <f t="shared" ref="D13:G13" si="29">+D12*0.15</f>
        <v>53055.623099999997</v>
      </c>
      <c r="E13" s="14">
        <f t="shared" si="29"/>
        <v>66253.57509233999</v>
      </c>
      <c r="F13" s="14">
        <f t="shared" si="29"/>
        <v>81380.584176355958</v>
      </c>
      <c r="G13" s="14">
        <f t="shared" si="29"/>
        <v>98722.855424713169</v>
      </c>
      <c r="H13" s="16">
        <f t="shared" si="14"/>
        <v>368640.13779340911</v>
      </c>
      <c r="I13" s="102"/>
      <c r="J13" s="132"/>
      <c r="K13" s="132"/>
      <c r="L13" s="111"/>
      <c r="M13" s="129" t="s">
        <v>110</v>
      </c>
      <c r="N13" s="28">
        <f>+N11-N12</f>
        <v>183592.5</v>
      </c>
      <c r="O13" s="28">
        <f t="shared" ref="O13:R13" si="30">+O11-O12</f>
        <v>239188.64550000001</v>
      </c>
      <c r="P13" s="28">
        <f t="shared" si="30"/>
        <v>303012.9794517</v>
      </c>
      <c r="Q13" s="28">
        <f t="shared" si="30"/>
        <v>376302.86850294977</v>
      </c>
      <c r="R13" s="28">
        <f t="shared" si="30"/>
        <v>460474.42039729294</v>
      </c>
      <c r="S13" s="30">
        <f t="shared" si="10"/>
        <v>1562571.4138519429</v>
      </c>
      <c r="U13" s="27" t="s">
        <v>110</v>
      </c>
      <c r="V13" s="28">
        <f>+V11-V12</f>
        <v>149866.5</v>
      </c>
      <c r="W13" s="28">
        <f t="shared" ref="W13:Z13" si="31">+W11-W12</f>
        <v>202663.38749999998</v>
      </c>
      <c r="X13" s="28">
        <f t="shared" si="31"/>
        <v>263456.1250377</v>
      </c>
      <c r="Y13" s="28">
        <f t="shared" si="31"/>
        <v>333462.79517258779</v>
      </c>
      <c r="Z13" s="28">
        <f t="shared" si="31"/>
        <v>415857.74918155273</v>
      </c>
      <c r="AA13" s="30">
        <f t="shared" si="12"/>
        <v>1365306.5568918404</v>
      </c>
    </row>
    <row r="14" spans="2:27" x14ac:dyDescent="0.25">
      <c r="B14" s="13" t="s">
        <v>110</v>
      </c>
      <c r="C14" s="14">
        <f>+C12-C13</f>
        <v>207682.5</v>
      </c>
      <c r="D14" s="14">
        <f>+D12-D13</f>
        <v>300648.53090000001</v>
      </c>
      <c r="E14" s="14">
        <f t="shared" ref="E14:G14" si="32">+E12-E13</f>
        <v>375436.92552325997</v>
      </c>
      <c r="F14" s="14">
        <f t="shared" si="32"/>
        <v>461156.6436660171</v>
      </c>
      <c r="G14" s="14">
        <f t="shared" si="32"/>
        <v>559429.51407337468</v>
      </c>
      <c r="H14" s="16">
        <f t="shared" si="14"/>
        <v>1904354.1141626518</v>
      </c>
      <c r="I14" s="102"/>
      <c r="J14" s="102"/>
      <c r="K14" s="102"/>
      <c r="M14" s="27" t="s">
        <v>35</v>
      </c>
      <c r="N14" s="28">
        <f>+N13</f>
        <v>183592.5</v>
      </c>
      <c r="O14" s="28">
        <f t="shared" ref="O14:S14" si="33">+O13</f>
        <v>239188.64550000001</v>
      </c>
      <c r="P14" s="28">
        <f t="shared" si="33"/>
        <v>303012.9794517</v>
      </c>
      <c r="Q14" s="28">
        <f t="shared" si="33"/>
        <v>376302.86850294977</v>
      </c>
      <c r="R14" s="28">
        <f t="shared" si="33"/>
        <v>460474.42039729294</v>
      </c>
      <c r="S14" s="34">
        <f t="shared" si="33"/>
        <v>1562571.4138519429</v>
      </c>
      <c r="U14" s="27" t="s">
        <v>35</v>
      </c>
      <c r="V14" s="28">
        <f>+V13</f>
        <v>149866.5</v>
      </c>
      <c r="W14" s="28">
        <f t="shared" ref="W14:AA14" si="34">+W13</f>
        <v>202663.38749999998</v>
      </c>
      <c r="X14" s="28">
        <f t="shared" si="34"/>
        <v>263456.1250377</v>
      </c>
      <c r="Y14" s="28">
        <f t="shared" si="34"/>
        <v>333462.79517258779</v>
      </c>
      <c r="Z14" s="28">
        <f t="shared" si="34"/>
        <v>415857.74918155273</v>
      </c>
      <c r="AA14" s="34">
        <f t="shared" si="34"/>
        <v>1365306.5568918404</v>
      </c>
    </row>
    <row r="15" spans="2:27" x14ac:dyDescent="0.25">
      <c r="B15" s="13" t="s">
        <v>35</v>
      </c>
      <c r="C15" s="14">
        <f>+C14</f>
        <v>207682.5</v>
      </c>
      <c r="D15" s="14">
        <f t="shared" ref="D15:H15" si="35">+D14</f>
        <v>300648.53090000001</v>
      </c>
      <c r="E15" s="14">
        <f t="shared" si="35"/>
        <v>375436.92552325997</v>
      </c>
      <c r="F15" s="14">
        <f t="shared" si="35"/>
        <v>461156.6436660171</v>
      </c>
      <c r="G15" s="14">
        <f t="shared" si="35"/>
        <v>559429.51407337468</v>
      </c>
      <c r="H15" s="20">
        <f t="shared" si="35"/>
        <v>1904354.1141626518</v>
      </c>
      <c r="I15" s="104"/>
      <c r="J15" s="104"/>
      <c r="K15" s="104"/>
      <c r="M15" s="35" t="s">
        <v>36</v>
      </c>
      <c r="N15" s="36">
        <f>+N14</f>
        <v>183592.5</v>
      </c>
      <c r="O15" s="36">
        <f>+O14+N15</f>
        <v>422781.14549999998</v>
      </c>
      <c r="P15" s="36">
        <f>+P14+O15</f>
        <v>725794.12495169998</v>
      </c>
      <c r="Q15" s="36">
        <f>+Q14+P15</f>
        <v>1102096.9934546498</v>
      </c>
      <c r="R15" s="37">
        <f>+Q15+R14</f>
        <v>1562571.4138519429</v>
      </c>
      <c r="S15" s="30">
        <f>SUM(N15:R15)</f>
        <v>3996836.1777582923</v>
      </c>
      <c r="U15" s="35" t="s">
        <v>36</v>
      </c>
      <c r="V15" s="36">
        <f>+V14</f>
        <v>149866.5</v>
      </c>
      <c r="W15" s="36">
        <f>+W14+V15</f>
        <v>352529.88749999995</v>
      </c>
      <c r="X15" s="36">
        <f>+X14+W15</f>
        <v>615986.01253769989</v>
      </c>
      <c r="Y15" s="36">
        <f>+Y14+X15</f>
        <v>949448.80771028763</v>
      </c>
      <c r="Z15" s="37">
        <f>+Y15+Z14</f>
        <v>1365306.5568918404</v>
      </c>
      <c r="AA15" s="30">
        <f>SUM(V15:Z15)</f>
        <v>3433137.7646398279</v>
      </c>
    </row>
    <row r="16" spans="2:27" x14ac:dyDescent="0.25">
      <c r="B16" s="21" t="s">
        <v>36</v>
      </c>
      <c r="C16" s="22">
        <f>+C15</f>
        <v>207682.5</v>
      </c>
      <c r="D16" s="22">
        <f>+D15+C16</f>
        <v>508331.03090000001</v>
      </c>
      <c r="E16" s="22">
        <f>+E15+D16</f>
        <v>883767.95642326004</v>
      </c>
      <c r="F16" s="22">
        <f>+F15+E16</f>
        <v>1344924.6000892771</v>
      </c>
      <c r="G16" s="23">
        <f>+F16+G15</f>
        <v>1904354.1141626518</v>
      </c>
      <c r="H16" s="16">
        <f>SUM(C16:G16)</f>
        <v>4849060.2015751889</v>
      </c>
      <c r="I16" s="102"/>
      <c r="J16" s="102"/>
      <c r="K16" s="102"/>
    </row>
    <row r="17" spans="2:32" x14ac:dyDescent="0.25">
      <c r="M17" s="27" t="s">
        <v>62</v>
      </c>
      <c r="N17" s="91">
        <f>+S4/S5</f>
        <v>1.7754063730754142</v>
      </c>
      <c r="U17" s="1"/>
      <c r="V17" s="91">
        <f>+AA4/AA5</f>
        <v>1.6171074066003979</v>
      </c>
    </row>
    <row r="18" spans="2:32" x14ac:dyDescent="0.25">
      <c r="B18" s="13" t="s">
        <v>74</v>
      </c>
      <c r="C18" s="91">
        <f>+H5/H6</f>
        <v>1.9101732862642504</v>
      </c>
      <c r="M18" s="111"/>
      <c r="N18" s="111"/>
      <c r="O18" s="111"/>
      <c r="P18" s="111"/>
      <c r="Q18" s="64">
        <f>+C15-N14</f>
        <v>24090</v>
      </c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</row>
    <row r="19" spans="2:32" x14ac:dyDescent="0.25">
      <c r="B19" s="96"/>
      <c r="C19" s="96"/>
      <c r="D19" s="96"/>
      <c r="E19" s="96"/>
      <c r="F19" s="96"/>
      <c r="G19" s="96"/>
      <c r="H19" s="96"/>
      <c r="I19" s="111"/>
      <c r="M19" s="64">
        <f>+N14-C15</f>
        <v>-24090</v>
      </c>
      <c r="N19" s="111"/>
      <c r="O19" s="111"/>
      <c r="P19" s="111"/>
      <c r="Q19" s="126">
        <f>+Q18/V14</f>
        <v>0.16074306132457888</v>
      </c>
      <c r="R19" s="111"/>
      <c r="S19" s="111"/>
      <c r="T19" s="111"/>
      <c r="U19" s="111"/>
      <c r="V19" s="64">
        <f>+N13-V13</f>
        <v>33726</v>
      </c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</row>
    <row r="20" spans="2:32" x14ac:dyDescent="0.25">
      <c r="B20" s="96"/>
      <c r="C20" s="96"/>
      <c r="D20" s="96">
        <v>1.46</v>
      </c>
      <c r="E20" s="96"/>
      <c r="F20" s="96"/>
      <c r="G20" s="95">
        <f>+C14-N14</f>
        <v>24090</v>
      </c>
      <c r="H20" s="96"/>
      <c r="I20" s="111"/>
      <c r="M20" s="64">
        <f>+M19/C15</f>
        <v>-0.11599436640063558</v>
      </c>
      <c r="N20" s="111"/>
      <c r="O20" s="111"/>
      <c r="P20" s="111"/>
      <c r="Q20" s="111"/>
      <c r="R20" s="111"/>
      <c r="S20" s="111"/>
      <c r="T20" s="111"/>
      <c r="U20" s="111"/>
      <c r="V20" s="113">
        <f>+N14-V14</f>
        <v>33726</v>
      </c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</row>
    <row r="21" spans="2:32" x14ac:dyDescent="0.25">
      <c r="B21" s="96"/>
      <c r="C21" s="96"/>
      <c r="D21" s="95">
        <f>+C18-D20</f>
        <v>0.45017328626425046</v>
      </c>
      <c r="E21" s="96"/>
      <c r="F21" s="96"/>
      <c r="G21" s="98">
        <f>+G20/C14</f>
        <v>0.11599436640063558</v>
      </c>
      <c r="H21" s="96">
        <f>+G21/6</f>
        <v>1.933239440010593E-2</v>
      </c>
      <c r="I21" s="111"/>
      <c r="M21" s="111"/>
      <c r="N21" s="111"/>
      <c r="O21" s="111"/>
      <c r="P21" s="111"/>
      <c r="Q21" s="111"/>
      <c r="R21" s="111"/>
      <c r="S21" s="111"/>
      <c r="T21" s="111"/>
      <c r="U21" s="111"/>
      <c r="V21" s="64">
        <f>+V20/N14</f>
        <v>0.18370031455533314</v>
      </c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</row>
    <row r="22" spans="2:32" x14ac:dyDescent="0.25">
      <c r="B22" s="96"/>
      <c r="C22" s="96"/>
      <c r="D22" s="95">
        <f>+D21/C18</f>
        <v>0.23567143855553541</v>
      </c>
      <c r="E22" s="96"/>
      <c r="F22" s="96"/>
      <c r="G22" s="96"/>
      <c r="H22" s="96"/>
      <c r="I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</row>
    <row r="23" spans="2:32" x14ac:dyDescent="0.25">
      <c r="B23" s="96"/>
      <c r="C23" s="96"/>
      <c r="D23" s="95"/>
      <c r="E23" s="96"/>
      <c r="F23" s="96"/>
      <c r="G23" s="96"/>
      <c r="H23" s="96"/>
      <c r="I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</row>
    <row r="24" spans="2:32" x14ac:dyDescent="0.25">
      <c r="B24" s="96"/>
      <c r="C24" s="96"/>
      <c r="D24" s="95"/>
      <c r="E24" s="96"/>
      <c r="F24" s="96"/>
      <c r="G24" s="96"/>
      <c r="H24" s="96"/>
      <c r="I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</row>
    <row r="25" spans="2:32" x14ac:dyDescent="0.25">
      <c r="B25" s="96"/>
      <c r="C25" s="96"/>
      <c r="D25" s="95"/>
      <c r="E25" s="96"/>
      <c r="F25" s="96"/>
      <c r="G25" s="96"/>
      <c r="H25" s="96"/>
      <c r="I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</row>
    <row r="26" spans="2:32" x14ac:dyDescent="0.25">
      <c r="B26" s="96"/>
      <c r="C26" s="96"/>
      <c r="D26" s="95"/>
      <c r="E26" s="96"/>
      <c r="F26" s="96"/>
      <c r="G26" s="96"/>
      <c r="H26" s="96"/>
      <c r="I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</row>
    <row r="27" spans="2:32" x14ac:dyDescent="0.25">
      <c r="B27" s="96"/>
      <c r="C27" s="96"/>
      <c r="D27" s="95"/>
      <c r="E27" s="96"/>
      <c r="F27" s="96"/>
      <c r="G27" s="96"/>
      <c r="H27" s="96"/>
      <c r="I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2:32" x14ac:dyDescent="0.25">
      <c r="B28" s="96"/>
      <c r="C28" s="96"/>
      <c r="D28" s="95"/>
      <c r="E28" s="96"/>
      <c r="F28" s="96"/>
      <c r="G28" s="96"/>
      <c r="H28" s="96"/>
      <c r="I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2:32" x14ac:dyDescent="0.25">
      <c r="B29" s="96"/>
      <c r="C29" s="96"/>
      <c r="D29" s="95"/>
      <c r="E29" s="96"/>
      <c r="F29" s="96"/>
      <c r="G29" s="96"/>
      <c r="H29" s="96"/>
      <c r="I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</row>
    <row r="30" spans="2:32" x14ac:dyDescent="0.25">
      <c r="B30" s="96"/>
      <c r="C30" s="96"/>
      <c r="D30" s="95"/>
      <c r="E30" s="96"/>
      <c r="F30" s="96"/>
      <c r="G30" s="96"/>
      <c r="H30" s="96"/>
      <c r="I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</row>
    <row r="31" spans="2:32" x14ac:dyDescent="0.25">
      <c r="B31" s="96"/>
      <c r="C31" s="96"/>
      <c r="D31" s="95"/>
      <c r="E31" s="96"/>
      <c r="F31" s="96"/>
      <c r="G31" s="96"/>
      <c r="H31" s="96"/>
      <c r="I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</row>
    <row r="32" spans="2:32" x14ac:dyDescent="0.25">
      <c r="B32" s="96"/>
      <c r="C32" s="96"/>
      <c r="D32" s="95"/>
      <c r="E32" s="96"/>
      <c r="F32" s="96"/>
      <c r="G32" s="96"/>
      <c r="H32" s="96"/>
      <c r="I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</row>
    <row r="33" spans="2:32" x14ac:dyDescent="0.25">
      <c r="B33" s="96"/>
      <c r="C33" s="96"/>
      <c r="D33" s="95"/>
      <c r="E33" s="96"/>
      <c r="F33" s="96"/>
      <c r="G33" s="96"/>
      <c r="H33" s="96"/>
      <c r="I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2:32" x14ac:dyDescent="0.25">
      <c r="B34" s="96"/>
      <c r="C34" s="96"/>
      <c r="D34" s="95"/>
      <c r="E34" s="96"/>
      <c r="F34" s="96"/>
      <c r="G34" s="96"/>
      <c r="H34" s="96"/>
      <c r="I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</row>
    <row r="35" spans="2:32" x14ac:dyDescent="0.25">
      <c r="B35" s="96"/>
      <c r="C35" s="96"/>
      <c r="D35" s="95"/>
      <c r="E35" s="96"/>
      <c r="F35" s="96"/>
      <c r="G35" s="96"/>
      <c r="H35" s="96"/>
      <c r="I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</row>
    <row r="36" spans="2:32" x14ac:dyDescent="0.25">
      <c r="B36" s="96"/>
      <c r="C36" s="96"/>
      <c r="D36" s="95"/>
      <c r="E36" s="96"/>
      <c r="F36" s="96"/>
      <c r="G36" s="96"/>
      <c r="H36" s="96"/>
      <c r="I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</row>
    <row r="37" spans="2:32" x14ac:dyDescent="0.25">
      <c r="B37" s="96"/>
      <c r="C37" s="96"/>
      <c r="D37" s="95"/>
      <c r="E37" s="96"/>
      <c r="F37" s="96"/>
      <c r="G37" s="96"/>
      <c r="H37" s="96"/>
      <c r="I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</row>
    <row r="38" spans="2:32" x14ac:dyDescent="0.25">
      <c r="B38" s="96"/>
      <c r="C38" s="96"/>
      <c r="D38" s="95"/>
      <c r="E38" s="96"/>
      <c r="F38" s="96"/>
      <c r="G38" s="96"/>
      <c r="H38" s="96"/>
      <c r="I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</row>
    <row r="39" spans="2:32" x14ac:dyDescent="0.25">
      <c r="B39" s="96"/>
      <c r="C39" s="96"/>
      <c r="D39" s="95"/>
      <c r="E39" s="96"/>
      <c r="F39" s="96"/>
      <c r="G39" s="96"/>
      <c r="H39" s="96"/>
      <c r="I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</row>
    <row r="40" spans="2:32" x14ac:dyDescent="0.25">
      <c r="B40" s="96"/>
      <c r="C40" s="96"/>
      <c r="D40" s="95"/>
      <c r="E40" s="96"/>
      <c r="F40" s="96"/>
      <c r="G40" s="96"/>
      <c r="H40" s="96"/>
      <c r="I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</row>
    <row r="41" spans="2:32" x14ac:dyDescent="0.25">
      <c r="B41" s="96"/>
      <c r="C41" s="96"/>
      <c r="D41" s="95"/>
      <c r="E41" s="96"/>
      <c r="F41" s="96"/>
      <c r="G41" s="96"/>
      <c r="H41" s="96"/>
      <c r="I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2:32" x14ac:dyDescent="0.25">
      <c r="B42" s="96"/>
      <c r="C42" s="96"/>
      <c r="D42" s="95"/>
      <c r="E42" s="96"/>
      <c r="F42" s="96"/>
      <c r="G42" s="96"/>
      <c r="H42" s="96"/>
      <c r="I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</row>
    <row r="43" spans="2:32" x14ac:dyDescent="0.25">
      <c r="B43" s="96"/>
      <c r="C43" s="96"/>
      <c r="D43" s="95"/>
      <c r="E43" s="96"/>
      <c r="F43" s="96"/>
      <c r="G43" s="96"/>
      <c r="H43" s="96"/>
      <c r="I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2:32" x14ac:dyDescent="0.25">
      <c r="B44" s="96"/>
      <c r="C44" s="96"/>
      <c r="D44" s="95"/>
      <c r="E44" s="96"/>
      <c r="F44" s="96"/>
      <c r="G44" s="96"/>
      <c r="H44" s="96"/>
      <c r="I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2:32" x14ac:dyDescent="0.25">
      <c r="B45" s="96"/>
      <c r="C45" s="96"/>
      <c r="D45" s="95"/>
      <c r="E45" s="96"/>
      <c r="F45" s="96"/>
      <c r="G45" s="96"/>
      <c r="H45" s="96"/>
      <c r="I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2:32" x14ac:dyDescent="0.25">
      <c r="B46" s="96"/>
      <c r="C46" s="96"/>
      <c r="D46" s="95"/>
      <c r="E46" s="96"/>
      <c r="F46" s="96"/>
      <c r="G46" s="96"/>
      <c r="H46" s="96"/>
      <c r="I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2:32" x14ac:dyDescent="0.25">
      <c r="B47" s="96"/>
      <c r="C47" s="96"/>
      <c r="D47" s="95"/>
      <c r="E47" s="96"/>
      <c r="F47" s="96"/>
      <c r="G47" s="96"/>
      <c r="H47" s="96"/>
      <c r="I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2:32" x14ac:dyDescent="0.25">
      <c r="B48" s="96"/>
      <c r="C48" s="96"/>
      <c r="D48" s="95"/>
      <c r="E48" s="96"/>
      <c r="F48" s="96"/>
      <c r="G48" s="96"/>
      <c r="H48" s="96"/>
      <c r="I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2:32" x14ac:dyDescent="0.25">
      <c r="B49" s="96"/>
      <c r="C49" s="96"/>
      <c r="D49" s="95"/>
      <c r="E49" s="96"/>
      <c r="F49" s="96"/>
      <c r="G49" s="96"/>
      <c r="H49" s="96"/>
      <c r="I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2:32" x14ac:dyDescent="0.25">
      <c r="B50" s="96"/>
      <c r="C50" s="96"/>
      <c r="D50" s="95"/>
      <c r="E50" s="96"/>
      <c r="F50" s="96"/>
      <c r="G50" s="96"/>
      <c r="H50" s="96"/>
      <c r="I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2:32" x14ac:dyDescent="0.25">
      <c r="B51" s="96"/>
      <c r="C51" s="96"/>
      <c r="D51" s="95"/>
      <c r="E51" s="96"/>
      <c r="F51" s="96"/>
      <c r="G51" s="96"/>
      <c r="H51" s="96"/>
      <c r="I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</row>
    <row r="52" spans="2:32" x14ac:dyDescent="0.25">
      <c r="B52" s="96"/>
      <c r="C52" s="96"/>
      <c r="D52" s="95"/>
      <c r="E52" s="96"/>
      <c r="F52" s="96"/>
      <c r="G52" s="96"/>
      <c r="H52" s="96"/>
      <c r="I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</row>
    <row r="53" spans="2:32" x14ac:dyDescent="0.25">
      <c r="B53" s="96"/>
      <c r="C53" s="96"/>
      <c r="D53" s="95"/>
      <c r="E53" s="96"/>
      <c r="F53" s="96"/>
      <c r="G53" s="96"/>
      <c r="H53" s="96"/>
      <c r="I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:32" x14ac:dyDescent="0.25">
      <c r="B54" s="96"/>
      <c r="C54" s="96"/>
      <c r="D54" s="96"/>
      <c r="E54" s="96"/>
      <c r="F54" s="96"/>
      <c r="G54" s="96"/>
      <c r="H54" s="96"/>
      <c r="I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:32" x14ac:dyDescent="0.25">
      <c r="B55" s="96"/>
      <c r="C55" s="96"/>
      <c r="D55" s="96"/>
      <c r="E55" s="96"/>
      <c r="F55" s="96"/>
      <c r="G55" s="96"/>
      <c r="H55" s="96"/>
      <c r="I55" s="111"/>
      <c r="M55" s="127"/>
      <c r="N55" s="127"/>
      <c r="O55" s="127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 spans="2:32" x14ac:dyDescent="0.25">
      <c r="M56" s="128"/>
      <c r="N56" s="128"/>
      <c r="O56" s="128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2:32" x14ac:dyDescent="0.25"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2:32" x14ac:dyDescent="0.25"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:32" x14ac:dyDescent="0.25"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</row>
    <row r="60" spans="2:32" x14ac:dyDescent="0.25"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2:32" x14ac:dyDescent="0.25"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62" spans="2:32" x14ac:dyDescent="0.25"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:32" x14ac:dyDescent="0.25"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</row>
    <row r="64" spans="2:32" x14ac:dyDescent="0.25"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</row>
  </sheetData>
  <mergeCells count="3">
    <mergeCell ref="B2:H2"/>
    <mergeCell ref="M2:S2"/>
    <mergeCell ref="U2:AA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30"/>
  <sheetViews>
    <sheetView workbookViewId="0">
      <selection activeCell="J18" sqref="J18"/>
    </sheetView>
  </sheetViews>
  <sheetFormatPr baseColWidth="10" defaultRowHeight="15" x14ac:dyDescent="0.25"/>
  <cols>
    <col min="2" max="2" width="25" customWidth="1"/>
    <col min="3" max="3" width="14.7109375" customWidth="1"/>
    <col min="8" max="8" width="14.5703125" bestFit="1" customWidth="1"/>
    <col min="10" max="10" width="26.42578125" customWidth="1"/>
    <col min="11" max="11" width="14.85546875" customWidth="1"/>
    <col min="16" max="17" width="14.5703125" bestFit="1" customWidth="1"/>
    <col min="18" max="18" width="20.85546875" customWidth="1"/>
    <col min="19" max="19" width="14.28515625" customWidth="1"/>
    <col min="24" max="24" width="13.140625" bestFit="1" customWidth="1"/>
    <col min="25" max="25" width="14.5703125" bestFit="1" customWidth="1"/>
  </cols>
  <sheetData>
    <row r="1" spans="2:24" x14ac:dyDescent="0.25">
      <c r="B1" s="139" t="s">
        <v>91</v>
      </c>
      <c r="C1" s="141"/>
      <c r="J1" s="139" t="s">
        <v>91</v>
      </c>
      <c r="K1" s="141"/>
      <c r="R1" s="139" t="s">
        <v>91</v>
      </c>
      <c r="S1" s="141"/>
    </row>
    <row r="2" spans="2:24" ht="18.75" x14ac:dyDescent="0.3">
      <c r="B2" s="144" t="s">
        <v>92</v>
      </c>
      <c r="C2" s="144"/>
      <c r="D2" s="144"/>
      <c r="E2" s="144"/>
      <c r="F2" s="144"/>
      <c r="G2" s="144"/>
      <c r="H2" s="144"/>
      <c r="J2" s="144" t="s">
        <v>92</v>
      </c>
      <c r="K2" s="144"/>
      <c r="L2" s="144"/>
      <c r="M2" s="144"/>
      <c r="N2" s="144"/>
      <c r="O2" s="144"/>
      <c r="P2" s="144"/>
      <c r="R2" s="144" t="s">
        <v>92</v>
      </c>
      <c r="S2" s="144"/>
      <c r="T2" s="144"/>
      <c r="U2" s="144"/>
      <c r="V2" s="144"/>
      <c r="W2" s="144"/>
      <c r="X2" s="144"/>
    </row>
    <row r="3" spans="2:24" x14ac:dyDescent="0.25">
      <c r="B3" s="38" t="s">
        <v>37</v>
      </c>
      <c r="C3" s="38" t="s">
        <v>38</v>
      </c>
      <c r="D3" s="38" t="s">
        <v>39</v>
      </c>
      <c r="E3" s="38" t="s">
        <v>40</v>
      </c>
      <c r="F3" s="38" t="s">
        <v>41</v>
      </c>
      <c r="G3" s="38" t="s">
        <v>42</v>
      </c>
      <c r="H3" s="39" t="s">
        <v>27</v>
      </c>
      <c r="J3" s="38" t="s">
        <v>37</v>
      </c>
      <c r="K3" s="38" t="s">
        <v>38</v>
      </c>
      <c r="L3" s="38" t="s">
        <v>39</v>
      </c>
      <c r="M3" s="38" t="s">
        <v>40</v>
      </c>
      <c r="N3" s="38" t="s">
        <v>41</v>
      </c>
      <c r="O3" s="38" t="s">
        <v>42</v>
      </c>
      <c r="P3" s="54" t="s">
        <v>27</v>
      </c>
      <c r="R3" s="38" t="s">
        <v>37</v>
      </c>
      <c r="S3" s="38" t="s">
        <v>38</v>
      </c>
      <c r="T3" s="38" t="s">
        <v>39</v>
      </c>
      <c r="U3" s="38" t="s">
        <v>40</v>
      </c>
      <c r="V3" s="38" t="s">
        <v>41</v>
      </c>
      <c r="W3" s="38" t="s">
        <v>42</v>
      </c>
      <c r="X3" s="54" t="s">
        <v>27</v>
      </c>
    </row>
    <row r="4" spans="2:24" x14ac:dyDescent="0.25">
      <c r="B4" s="40" t="s">
        <v>43</v>
      </c>
      <c r="C4" s="40"/>
      <c r="D4" s="40"/>
      <c r="E4" s="40"/>
      <c r="F4" s="40"/>
      <c r="G4" s="40"/>
      <c r="H4" s="41"/>
      <c r="J4" s="42" t="s">
        <v>43</v>
      </c>
      <c r="K4" s="42"/>
      <c r="L4" s="42"/>
      <c r="M4" s="42"/>
      <c r="N4" s="42"/>
      <c r="O4" s="42"/>
      <c r="P4" s="55"/>
      <c r="R4" s="40" t="s">
        <v>43</v>
      </c>
      <c r="S4" s="40"/>
      <c r="T4" s="40"/>
      <c r="U4" s="40"/>
      <c r="V4" s="40"/>
      <c r="W4" s="40"/>
      <c r="X4" s="55"/>
    </row>
    <row r="5" spans="2:24" x14ac:dyDescent="0.25">
      <c r="B5" s="42" t="s">
        <v>44</v>
      </c>
      <c r="C5" s="43">
        <f>+'Flujo de caja'!C5</f>
        <v>725760</v>
      </c>
      <c r="D5" s="43">
        <f>+'Flujo de caja'!D5</f>
        <v>825297.98399999994</v>
      </c>
      <c r="E5" s="43">
        <f>+'Flujo de caja'!E5</f>
        <v>938487.60250559996</v>
      </c>
      <c r="F5" s="43">
        <f>+'Flujo de caja'!F5</f>
        <v>1067201.177189243</v>
      </c>
      <c r="G5" s="43">
        <f>+'Flujo de caja'!G5</f>
        <v>1213567.8186407478</v>
      </c>
      <c r="H5" s="44">
        <f>SUM(C5:G5)</f>
        <v>4770314.5823355904</v>
      </c>
      <c r="J5" s="42" t="s">
        <v>44</v>
      </c>
      <c r="K5" s="43">
        <f>+C5</f>
        <v>725760</v>
      </c>
      <c r="L5" s="43">
        <f>+D5</f>
        <v>825297.98399999994</v>
      </c>
      <c r="M5" s="43">
        <f>+E5</f>
        <v>938487.60250559996</v>
      </c>
      <c r="N5" s="43">
        <f>+F5</f>
        <v>1067201.177189243</v>
      </c>
      <c r="O5" s="43">
        <f>+G5</f>
        <v>1213567.8186407478</v>
      </c>
      <c r="P5" s="44">
        <f>SUM(K5:O5)</f>
        <v>4770314.5823355904</v>
      </c>
      <c r="R5" s="42" t="s">
        <v>44</v>
      </c>
      <c r="S5" s="43">
        <f>+K5</f>
        <v>725760</v>
      </c>
      <c r="T5" s="43">
        <f>+L5</f>
        <v>825297.98399999994</v>
      </c>
      <c r="U5" s="43">
        <f>+M5</f>
        <v>938487.60250559996</v>
      </c>
      <c r="V5" s="43">
        <f>+N5</f>
        <v>1067201.177189243</v>
      </c>
      <c r="W5" s="43">
        <f>+O5</f>
        <v>1213567.8186407478</v>
      </c>
      <c r="X5" s="56">
        <f>SUM(S5:W5)</f>
        <v>4770314.5823355904</v>
      </c>
    </row>
    <row r="6" spans="2:24" x14ac:dyDescent="0.25">
      <c r="B6" s="42" t="s">
        <v>45</v>
      </c>
      <c r="C6" s="43">
        <f>+C5</f>
        <v>725760</v>
      </c>
      <c r="D6" s="43">
        <f t="shared" ref="D6:G6" si="0">+D5</f>
        <v>825297.98399999994</v>
      </c>
      <c r="E6" s="43">
        <f t="shared" si="0"/>
        <v>938487.60250559996</v>
      </c>
      <c r="F6" s="43">
        <f t="shared" si="0"/>
        <v>1067201.177189243</v>
      </c>
      <c r="G6" s="43">
        <f t="shared" si="0"/>
        <v>1213567.8186407478</v>
      </c>
      <c r="H6" s="44">
        <f t="shared" ref="H6:H21" si="1">SUM(C6:G6)</f>
        <v>4770314.5823355904</v>
      </c>
      <c r="J6" s="42" t="s">
        <v>45</v>
      </c>
      <c r="K6" s="43">
        <f t="shared" ref="K6:O11" si="2">+C6</f>
        <v>725760</v>
      </c>
      <c r="L6" s="43">
        <f t="shared" si="2"/>
        <v>825297.98399999994</v>
      </c>
      <c r="M6" s="43">
        <f t="shared" si="2"/>
        <v>938487.60250559996</v>
      </c>
      <c r="N6" s="43">
        <f t="shared" si="2"/>
        <v>1067201.177189243</v>
      </c>
      <c r="O6" s="43">
        <f>+G6</f>
        <v>1213567.8186407478</v>
      </c>
      <c r="P6" s="44">
        <f t="shared" ref="P6:P21" si="3">SUM(K6:O6)</f>
        <v>4770314.5823355904</v>
      </c>
      <c r="R6" s="42" t="s">
        <v>45</v>
      </c>
      <c r="S6" s="43">
        <f>+S5</f>
        <v>725760</v>
      </c>
      <c r="T6" s="43">
        <f t="shared" ref="T6:W6" si="4">+T5</f>
        <v>825297.98399999994</v>
      </c>
      <c r="U6" s="43">
        <f t="shared" si="4"/>
        <v>938487.60250559996</v>
      </c>
      <c r="V6" s="43">
        <f t="shared" si="4"/>
        <v>1067201.177189243</v>
      </c>
      <c r="W6" s="43">
        <f t="shared" si="4"/>
        <v>1213567.8186407478</v>
      </c>
      <c r="X6" s="56">
        <f t="shared" ref="X6:X21" si="5">SUM(S6:W6)</f>
        <v>4770314.5823355904</v>
      </c>
    </row>
    <row r="7" spans="2:24" x14ac:dyDescent="0.25">
      <c r="B7" s="42" t="s">
        <v>46</v>
      </c>
      <c r="C7" s="45">
        <f>SUM(C8:C13)</f>
        <v>408670</v>
      </c>
      <c r="D7" s="45">
        <f t="shared" ref="D7:G7" si="6">SUM(D8:D13)</f>
        <v>438301.82999999996</v>
      </c>
      <c r="E7" s="45">
        <f t="shared" si="6"/>
        <v>470393.10188999999</v>
      </c>
      <c r="F7" s="45">
        <f t="shared" si="6"/>
        <v>505147.94934686995</v>
      </c>
      <c r="G7" s="45">
        <f t="shared" si="6"/>
        <v>542787.44914266001</v>
      </c>
      <c r="H7" s="44">
        <f t="shared" si="1"/>
        <v>2365300.3303795299</v>
      </c>
      <c r="J7" s="42" t="s">
        <v>46</v>
      </c>
      <c r="K7" s="43">
        <f>SUM(K8:K13)</f>
        <v>440790</v>
      </c>
      <c r="L7" s="43">
        <f t="shared" ref="L7:O7" si="7">SUM(L8:L13)</f>
        <v>473087.78999999992</v>
      </c>
      <c r="M7" s="43">
        <f t="shared" si="7"/>
        <v>508066.29656999995</v>
      </c>
      <c r="N7" s="43">
        <f t="shared" si="7"/>
        <v>545948.01918531</v>
      </c>
      <c r="O7" s="43">
        <f t="shared" si="7"/>
        <v>586973.92477769055</v>
      </c>
      <c r="P7" s="44">
        <f>SUM(K7:O7)</f>
        <v>2554866.0305330004</v>
      </c>
      <c r="R7" s="42" t="s">
        <v>46</v>
      </c>
      <c r="S7" s="45">
        <f>SUM(S8:S13)</f>
        <v>485758</v>
      </c>
      <c r="T7" s="45">
        <f t="shared" ref="T7:W7" si="8">SUM(T8:T13)</f>
        <v>521788.13399999996</v>
      </c>
      <c r="U7" s="45">
        <f t="shared" si="8"/>
        <v>560808.76912199997</v>
      </c>
      <c r="V7" s="45">
        <f t="shared" si="8"/>
        <v>603068.11695912597</v>
      </c>
      <c r="W7" s="45">
        <f t="shared" si="8"/>
        <v>648834.99066673336</v>
      </c>
      <c r="X7" s="56">
        <f t="shared" si="5"/>
        <v>2820258.0107478593</v>
      </c>
    </row>
    <row r="8" spans="2:24" x14ac:dyDescent="0.25">
      <c r="B8" s="42" t="s">
        <v>111</v>
      </c>
      <c r="C8" s="43">
        <f>+Egresos!F16</f>
        <v>294616</v>
      </c>
      <c r="D8" s="43">
        <f>+C8*1.083</f>
        <v>319069.12799999997</v>
      </c>
      <c r="E8" s="43">
        <f t="shared" ref="E8:G8" si="9">+D8*1.083</f>
        <v>345551.86562399997</v>
      </c>
      <c r="F8" s="43">
        <f t="shared" si="9"/>
        <v>374232.67047079193</v>
      </c>
      <c r="G8" s="43">
        <f t="shared" si="9"/>
        <v>405293.98211986764</v>
      </c>
      <c r="H8" s="44">
        <f t="shared" si="1"/>
        <v>1738763.6462146596</v>
      </c>
      <c r="J8" s="42" t="s">
        <v>111</v>
      </c>
      <c r="K8" s="43">
        <f t="shared" si="2"/>
        <v>294616</v>
      </c>
      <c r="L8" s="43">
        <f t="shared" si="2"/>
        <v>319069.12799999997</v>
      </c>
      <c r="M8" s="43">
        <f t="shared" si="2"/>
        <v>345551.86562399997</v>
      </c>
      <c r="N8" s="43">
        <f t="shared" si="2"/>
        <v>374232.67047079193</v>
      </c>
      <c r="O8" s="43">
        <f t="shared" si="2"/>
        <v>405293.98211986764</v>
      </c>
      <c r="P8" s="44">
        <f t="shared" si="3"/>
        <v>1738763.6462146596</v>
      </c>
      <c r="R8" s="42" t="s">
        <v>111</v>
      </c>
      <c r="S8" s="43">
        <f>+K8</f>
        <v>294616</v>
      </c>
      <c r="T8" s="43">
        <f t="shared" ref="T8:W11" si="10">+L8</f>
        <v>319069.12799999997</v>
      </c>
      <c r="U8" s="43">
        <f t="shared" si="10"/>
        <v>345551.86562399997</v>
      </c>
      <c r="V8" s="43">
        <f t="shared" si="10"/>
        <v>374232.67047079193</v>
      </c>
      <c r="W8" s="43">
        <f t="shared" si="10"/>
        <v>405293.98211986764</v>
      </c>
      <c r="X8" s="56">
        <f t="shared" si="5"/>
        <v>1738763.6462146596</v>
      </c>
    </row>
    <row r="9" spans="2:24" x14ac:dyDescent="0.25">
      <c r="B9" s="42" t="s">
        <v>6</v>
      </c>
      <c r="C9" s="43">
        <f>+'Flujo de caja'!N7</f>
        <v>22500</v>
      </c>
      <c r="D9" s="43">
        <f>+'Flujo de caja'!O7</f>
        <v>24367.5</v>
      </c>
      <c r="E9" s="43">
        <f>+'Flujo de caja'!P7</f>
        <v>26390.002499999999</v>
      </c>
      <c r="F9" s="43">
        <f>+'Flujo de caja'!Q7</f>
        <v>28580.372707499999</v>
      </c>
      <c r="G9" s="43">
        <f>+'Flujo de caja'!R7</f>
        <v>30952.543642222499</v>
      </c>
      <c r="H9" s="44">
        <f t="shared" si="1"/>
        <v>132790.41884972251</v>
      </c>
      <c r="J9" s="42" t="s">
        <v>6</v>
      </c>
      <c r="K9" s="43">
        <f t="shared" si="2"/>
        <v>22500</v>
      </c>
      <c r="L9" s="43">
        <f t="shared" si="2"/>
        <v>24367.5</v>
      </c>
      <c r="M9" s="43">
        <f t="shared" si="2"/>
        <v>26390.002499999999</v>
      </c>
      <c r="N9" s="43">
        <f t="shared" si="2"/>
        <v>28580.372707499999</v>
      </c>
      <c r="O9" s="43">
        <f t="shared" si="2"/>
        <v>30952.543642222499</v>
      </c>
      <c r="P9" s="44">
        <f t="shared" si="3"/>
        <v>132790.41884972251</v>
      </c>
      <c r="R9" s="42" t="s">
        <v>6</v>
      </c>
      <c r="S9" s="43">
        <f t="shared" ref="S9:S11" si="11">+K9</f>
        <v>22500</v>
      </c>
      <c r="T9" s="43">
        <f t="shared" si="10"/>
        <v>24367.5</v>
      </c>
      <c r="U9" s="43">
        <f t="shared" si="10"/>
        <v>26390.002499999999</v>
      </c>
      <c r="V9" s="43">
        <f t="shared" si="10"/>
        <v>28580.372707499999</v>
      </c>
      <c r="W9" s="43">
        <f t="shared" si="10"/>
        <v>30952.543642222499</v>
      </c>
      <c r="X9" s="56">
        <f t="shared" si="5"/>
        <v>132790.41884972251</v>
      </c>
    </row>
    <row r="10" spans="2:24" x14ac:dyDescent="0.25">
      <c r="B10" s="42" t="s">
        <v>47</v>
      </c>
      <c r="C10" s="43">
        <f>+'Flujo de caja'!C9</f>
        <v>1350</v>
      </c>
      <c r="D10" s="43">
        <f>+'Flujo de caja'!D9</f>
        <v>1462.05</v>
      </c>
      <c r="E10" s="43">
        <f>+'Flujo de caja'!E9</f>
        <v>1583.4001499999999</v>
      </c>
      <c r="F10" s="43">
        <f>+'Flujo de caja'!F9</f>
        <v>1714.8223624499999</v>
      </c>
      <c r="G10" s="43">
        <f>+'Flujo de caja'!G9</f>
        <v>1857.1526185333498</v>
      </c>
      <c r="H10" s="44">
        <f t="shared" si="1"/>
        <v>7967.4251309833498</v>
      </c>
      <c r="J10" s="42" t="s">
        <v>47</v>
      </c>
      <c r="K10" s="43">
        <f t="shared" si="2"/>
        <v>1350</v>
      </c>
      <c r="L10" s="43">
        <f t="shared" si="2"/>
        <v>1462.05</v>
      </c>
      <c r="M10" s="43">
        <f t="shared" si="2"/>
        <v>1583.4001499999999</v>
      </c>
      <c r="N10" s="43">
        <f t="shared" si="2"/>
        <v>1714.8223624499999</v>
      </c>
      <c r="O10" s="43">
        <f t="shared" si="2"/>
        <v>1857.1526185333498</v>
      </c>
      <c r="P10" s="44">
        <f t="shared" si="3"/>
        <v>7967.4251309833498</v>
      </c>
      <c r="R10" s="42" t="s">
        <v>47</v>
      </c>
      <c r="S10" s="43">
        <f t="shared" si="11"/>
        <v>1350</v>
      </c>
      <c r="T10" s="43">
        <f t="shared" si="10"/>
        <v>1462.05</v>
      </c>
      <c r="U10" s="43">
        <f t="shared" si="10"/>
        <v>1583.4001499999999</v>
      </c>
      <c r="V10" s="43">
        <f t="shared" si="10"/>
        <v>1714.8223624499999</v>
      </c>
      <c r="W10" s="43">
        <f t="shared" si="10"/>
        <v>1857.1526185333498</v>
      </c>
      <c r="X10" s="56">
        <f t="shared" si="5"/>
        <v>7967.4251309833498</v>
      </c>
    </row>
    <row r="11" spans="2:24" x14ac:dyDescent="0.25">
      <c r="B11" s="42" t="s">
        <v>48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4">
        <f t="shared" si="1"/>
        <v>0</v>
      </c>
      <c r="J11" s="42" t="s">
        <v>48</v>
      </c>
      <c r="K11" s="43">
        <f t="shared" si="2"/>
        <v>0</v>
      </c>
      <c r="L11" s="43">
        <f t="shared" si="2"/>
        <v>0</v>
      </c>
      <c r="M11" s="43">
        <f t="shared" si="2"/>
        <v>0</v>
      </c>
      <c r="N11" s="43">
        <f t="shared" si="2"/>
        <v>0</v>
      </c>
      <c r="O11" s="43">
        <f t="shared" si="2"/>
        <v>0</v>
      </c>
      <c r="P11" s="44">
        <f t="shared" si="3"/>
        <v>0</v>
      </c>
      <c r="R11" s="42" t="s">
        <v>48</v>
      </c>
      <c r="S11" s="43">
        <f t="shared" si="11"/>
        <v>0</v>
      </c>
      <c r="T11" s="43">
        <f t="shared" si="10"/>
        <v>0</v>
      </c>
      <c r="U11" s="43">
        <f t="shared" si="10"/>
        <v>0</v>
      </c>
      <c r="V11" s="43">
        <f t="shared" si="10"/>
        <v>0</v>
      </c>
      <c r="W11" s="43">
        <f t="shared" si="10"/>
        <v>0</v>
      </c>
      <c r="X11" s="56">
        <f t="shared" si="5"/>
        <v>0</v>
      </c>
    </row>
    <row r="12" spans="2:24" x14ac:dyDescent="0.25">
      <c r="B12" s="46" t="s">
        <v>109</v>
      </c>
      <c r="C12" s="43">
        <f>+'Flujo de caja'!C10</f>
        <v>38544</v>
      </c>
      <c r="D12" s="43">
        <f>+'Flujo de caja'!D10</f>
        <v>41743.152000000002</v>
      </c>
      <c r="E12" s="43">
        <f>+'Flujo de caja'!E10</f>
        <v>45207.833616000004</v>
      </c>
      <c r="F12" s="43">
        <f>+'Flujo de caja'!F10</f>
        <v>48960.083806128001</v>
      </c>
      <c r="G12" s="43">
        <f>+'Flujo de caja'!G10</f>
        <v>53023.77076203662</v>
      </c>
      <c r="H12" s="44">
        <f t="shared" si="1"/>
        <v>227478.84018416461</v>
      </c>
      <c r="J12" s="46" t="s">
        <v>107</v>
      </c>
      <c r="K12" s="43">
        <f>+'Flujo de caja'!N9</f>
        <v>70664</v>
      </c>
      <c r="L12" s="43">
        <f>+'Flujo de caja'!O9</f>
        <v>76529.111999999994</v>
      </c>
      <c r="M12" s="43">
        <f>+'Flujo de caja'!P9</f>
        <v>82881.028295999989</v>
      </c>
      <c r="N12" s="43">
        <f>+'Flujo de caja'!Q9</f>
        <v>89760.153644567981</v>
      </c>
      <c r="O12" s="43">
        <f>+'Flujo de caja'!R9</f>
        <v>97210.246397067123</v>
      </c>
      <c r="P12" s="44">
        <f t="shared" si="3"/>
        <v>417044.54033763509</v>
      </c>
      <c r="R12" s="46" t="s">
        <v>112</v>
      </c>
      <c r="S12" s="43">
        <f>+'Flujo de caja'!V9</f>
        <v>115632</v>
      </c>
      <c r="T12" s="43">
        <f>+S12*1.083</f>
        <v>125229.45599999999</v>
      </c>
      <c r="U12" s="43">
        <f t="shared" ref="U12:W12" si="12">+T12*1.083</f>
        <v>135623.500848</v>
      </c>
      <c r="V12" s="43">
        <f t="shared" si="12"/>
        <v>146880.251418384</v>
      </c>
      <c r="W12" s="43">
        <f t="shared" si="12"/>
        <v>159071.31228610987</v>
      </c>
      <c r="X12" s="56">
        <f t="shared" si="5"/>
        <v>682436.52055249386</v>
      </c>
    </row>
    <row r="13" spans="2:24" x14ac:dyDescent="0.25">
      <c r="B13" s="42" t="s">
        <v>49</v>
      </c>
      <c r="C13" s="43">
        <f>+Inversion!G25</f>
        <v>51660</v>
      </c>
      <c r="D13" s="43">
        <v>51660</v>
      </c>
      <c r="E13" s="43">
        <v>51660</v>
      </c>
      <c r="F13" s="43">
        <v>51660</v>
      </c>
      <c r="G13" s="43">
        <v>51660</v>
      </c>
      <c r="H13" s="44">
        <f t="shared" si="1"/>
        <v>258300</v>
      </c>
      <c r="J13" s="42" t="s">
        <v>49</v>
      </c>
      <c r="K13" s="43">
        <f>+C13</f>
        <v>51660</v>
      </c>
      <c r="L13" s="43">
        <f t="shared" ref="L13:O13" si="13">+D13</f>
        <v>51660</v>
      </c>
      <c r="M13" s="43">
        <f t="shared" si="13"/>
        <v>51660</v>
      </c>
      <c r="N13" s="43">
        <f t="shared" si="13"/>
        <v>51660</v>
      </c>
      <c r="O13" s="43">
        <f t="shared" si="13"/>
        <v>51660</v>
      </c>
      <c r="P13" s="44">
        <f t="shared" si="3"/>
        <v>258300</v>
      </c>
      <c r="R13" s="42" t="s">
        <v>49</v>
      </c>
      <c r="S13" s="43">
        <f>+K13</f>
        <v>51660</v>
      </c>
      <c r="T13" s="43">
        <f t="shared" ref="T13:W13" si="14">+L13</f>
        <v>51660</v>
      </c>
      <c r="U13" s="43">
        <f t="shared" si="14"/>
        <v>51660</v>
      </c>
      <c r="V13" s="43">
        <f t="shared" si="14"/>
        <v>51660</v>
      </c>
      <c r="W13" s="43">
        <f t="shared" si="14"/>
        <v>51660</v>
      </c>
      <c r="X13" s="56">
        <f t="shared" si="5"/>
        <v>258300</v>
      </c>
    </row>
    <row r="14" spans="2:24" x14ac:dyDescent="0.25">
      <c r="B14" s="42" t="s">
        <v>50</v>
      </c>
      <c r="C14" s="43">
        <f>+C6-C7</f>
        <v>317090</v>
      </c>
      <c r="D14" s="43">
        <f t="shared" ref="D14:G14" si="15">+D5-D7</f>
        <v>386996.15399999998</v>
      </c>
      <c r="E14" s="43">
        <f t="shared" si="15"/>
        <v>468094.50061559997</v>
      </c>
      <c r="F14" s="43">
        <f t="shared" si="15"/>
        <v>562053.22784237307</v>
      </c>
      <c r="G14" s="43">
        <f t="shared" si="15"/>
        <v>670780.36949808779</v>
      </c>
      <c r="H14" s="44">
        <f t="shared" si="1"/>
        <v>2405014.2519560605</v>
      </c>
      <c r="J14" s="42" t="s">
        <v>50</v>
      </c>
      <c r="K14" s="43">
        <f>+K5-K7</f>
        <v>284970</v>
      </c>
      <c r="L14" s="43">
        <f t="shared" ref="L14:O14" si="16">+L5-L7</f>
        <v>352210.19400000002</v>
      </c>
      <c r="M14" s="43">
        <f t="shared" si="16"/>
        <v>430421.30593560002</v>
      </c>
      <c r="N14" s="43">
        <f t="shared" si="16"/>
        <v>521253.15800393303</v>
      </c>
      <c r="O14" s="43">
        <f t="shared" si="16"/>
        <v>626593.89386305725</v>
      </c>
      <c r="P14" s="44">
        <f t="shared" si="3"/>
        <v>2215448.5518025905</v>
      </c>
      <c r="R14" s="42" t="s">
        <v>50</v>
      </c>
      <c r="S14" s="43">
        <f>+S5-S7</f>
        <v>240002</v>
      </c>
      <c r="T14" s="43">
        <f t="shared" ref="T14:W14" si="17">+T5-T7</f>
        <v>303509.84999999998</v>
      </c>
      <c r="U14" s="43">
        <f t="shared" si="17"/>
        <v>377678.83338359999</v>
      </c>
      <c r="V14" s="43">
        <f t="shared" si="17"/>
        <v>464133.06023011706</v>
      </c>
      <c r="W14" s="43">
        <f t="shared" si="17"/>
        <v>564732.82797401445</v>
      </c>
      <c r="X14" s="56">
        <f t="shared" si="5"/>
        <v>1950056.5715877316</v>
      </c>
    </row>
    <row r="15" spans="2:24" x14ac:dyDescent="0.25">
      <c r="B15" s="42" t="s">
        <v>32</v>
      </c>
      <c r="C15" s="43">
        <f>+'Servicio de la deuda'!F14</f>
        <v>91840</v>
      </c>
      <c r="D15" s="43">
        <f>+'Servicio de la deuda'!F15</f>
        <v>84952</v>
      </c>
      <c r="E15" s="43">
        <f>+'Servicio de la deuda'!F16</f>
        <v>78064</v>
      </c>
      <c r="F15" s="43">
        <f>+'Servicio de la deuda'!F17</f>
        <v>71176</v>
      </c>
      <c r="G15" s="43">
        <f>+'Servicio de la deuda'!F18</f>
        <v>64288</v>
      </c>
      <c r="H15" s="44">
        <f t="shared" si="1"/>
        <v>390320</v>
      </c>
      <c r="J15" s="42" t="s">
        <v>32</v>
      </c>
      <c r="K15" s="43">
        <f>SUM(K16)</f>
        <v>91840</v>
      </c>
      <c r="L15" s="43">
        <f t="shared" ref="L15:M15" si="18">SUM(L16)</f>
        <v>84952</v>
      </c>
      <c r="M15" s="43">
        <f t="shared" si="18"/>
        <v>78064</v>
      </c>
      <c r="N15" s="43">
        <f>+F15</f>
        <v>71176</v>
      </c>
      <c r="O15" s="43">
        <f>+G15</f>
        <v>64288</v>
      </c>
      <c r="P15" s="44">
        <f t="shared" si="3"/>
        <v>390320</v>
      </c>
      <c r="R15" s="42" t="s">
        <v>32</v>
      </c>
      <c r="S15" s="43">
        <f>SUM(S16)</f>
        <v>91840</v>
      </c>
      <c r="T15" s="43">
        <f t="shared" ref="T15:W15" si="19">SUM(T16)</f>
        <v>84952</v>
      </c>
      <c r="U15" s="43">
        <f t="shared" si="19"/>
        <v>78064</v>
      </c>
      <c r="V15" s="43">
        <f t="shared" si="19"/>
        <v>71176</v>
      </c>
      <c r="W15" s="43">
        <f t="shared" si="19"/>
        <v>64288</v>
      </c>
      <c r="X15" s="56">
        <f t="shared" si="5"/>
        <v>390320</v>
      </c>
    </row>
    <row r="16" spans="2:24" x14ac:dyDescent="0.25">
      <c r="B16" s="42" t="s">
        <v>51</v>
      </c>
      <c r="C16" s="43">
        <f>+'Flujo de caja'!N10</f>
        <v>91840</v>
      </c>
      <c r="D16" s="43">
        <f>+'Flujo de caja'!O10</f>
        <v>84952</v>
      </c>
      <c r="E16" s="43">
        <f>+'Flujo de caja'!P10</f>
        <v>78064</v>
      </c>
      <c r="F16" s="43">
        <f>+'Flujo de caja'!Q10</f>
        <v>71176</v>
      </c>
      <c r="G16" s="43">
        <f>+'Flujo de caja'!R10</f>
        <v>64288</v>
      </c>
      <c r="H16" s="44">
        <f t="shared" si="1"/>
        <v>390320</v>
      </c>
      <c r="J16" s="42" t="s">
        <v>51</v>
      </c>
      <c r="K16" s="43">
        <f>+C16</f>
        <v>91840</v>
      </c>
      <c r="L16" s="43">
        <f>+D15</f>
        <v>84952</v>
      </c>
      <c r="M16" s="43">
        <f t="shared" ref="M16:O16" si="20">+E15</f>
        <v>78064</v>
      </c>
      <c r="N16" s="43">
        <f t="shared" si="20"/>
        <v>71176</v>
      </c>
      <c r="O16" s="43">
        <f t="shared" si="20"/>
        <v>64288</v>
      </c>
      <c r="P16" s="44">
        <f t="shared" si="3"/>
        <v>390320</v>
      </c>
      <c r="R16" s="42" t="s">
        <v>51</v>
      </c>
      <c r="S16" s="43">
        <f>+K16</f>
        <v>91840</v>
      </c>
      <c r="T16" s="43">
        <f t="shared" ref="T16:W16" si="21">+L16</f>
        <v>84952</v>
      </c>
      <c r="U16" s="43">
        <f t="shared" si="21"/>
        <v>78064</v>
      </c>
      <c r="V16" s="43">
        <f t="shared" si="21"/>
        <v>71176</v>
      </c>
      <c r="W16" s="43">
        <f t="shared" si="21"/>
        <v>64288</v>
      </c>
      <c r="X16" s="56">
        <f t="shared" si="5"/>
        <v>390320</v>
      </c>
    </row>
    <row r="17" spans="2:25" x14ac:dyDescent="0.25">
      <c r="B17" s="42" t="s">
        <v>52</v>
      </c>
      <c r="C17" s="43">
        <f>+C14-C16</f>
        <v>225250</v>
      </c>
      <c r="D17" s="43">
        <f t="shared" ref="D17:G17" si="22">+D14-D16</f>
        <v>302044.15399999998</v>
      </c>
      <c r="E17" s="43">
        <f t="shared" si="22"/>
        <v>390030.50061559997</v>
      </c>
      <c r="F17" s="43">
        <f t="shared" si="22"/>
        <v>490877.22784237307</v>
      </c>
      <c r="G17" s="43">
        <f t="shared" si="22"/>
        <v>606492.36949808779</v>
      </c>
      <c r="H17" s="44">
        <f t="shared" si="1"/>
        <v>2014694.2519560608</v>
      </c>
      <c r="J17" s="42" t="s">
        <v>52</v>
      </c>
      <c r="K17" s="43">
        <f>+K14-K16</f>
        <v>193130</v>
      </c>
      <c r="L17" s="43">
        <f t="shared" ref="L17:O17" si="23">+L14-L16</f>
        <v>267258.19400000002</v>
      </c>
      <c r="M17" s="43">
        <f t="shared" si="23"/>
        <v>352357.30593560002</v>
      </c>
      <c r="N17" s="43">
        <f t="shared" si="23"/>
        <v>450077.15800393303</v>
      </c>
      <c r="O17" s="43">
        <f t="shared" si="23"/>
        <v>562305.89386305725</v>
      </c>
      <c r="P17" s="44">
        <f t="shared" si="3"/>
        <v>1825128.5518025903</v>
      </c>
      <c r="R17" s="42" t="s">
        <v>52</v>
      </c>
      <c r="S17" s="43">
        <f>+S14-S15</f>
        <v>148162</v>
      </c>
      <c r="T17" s="43">
        <f t="shared" ref="T17:W17" si="24">+T14-T15</f>
        <v>218557.84999999998</v>
      </c>
      <c r="U17" s="43">
        <f t="shared" si="24"/>
        <v>299614.83338359999</v>
      </c>
      <c r="V17" s="43">
        <f t="shared" si="24"/>
        <v>392957.06023011706</v>
      </c>
      <c r="W17" s="43">
        <f t="shared" si="24"/>
        <v>500444.82797401445</v>
      </c>
      <c r="X17" s="56">
        <f t="shared" si="5"/>
        <v>1559736.5715877316</v>
      </c>
    </row>
    <row r="18" spans="2:25" x14ac:dyDescent="0.25">
      <c r="B18" s="42" t="s">
        <v>53</v>
      </c>
      <c r="C18" s="45">
        <f>+C19</f>
        <v>28156.25</v>
      </c>
      <c r="D18" s="45">
        <f t="shared" ref="D18:G18" si="25">+D19</f>
        <v>37755.519249999998</v>
      </c>
      <c r="E18" s="45">
        <f t="shared" si="25"/>
        <v>48753.812576949997</v>
      </c>
      <c r="F18" s="45">
        <f t="shared" si="25"/>
        <v>61359.653480296634</v>
      </c>
      <c r="G18" s="45">
        <f t="shared" si="25"/>
        <v>75811.546187260974</v>
      </c>
      <c r="H18" s="44">
        <f t="shared" si="1"/>
        <v>251836.7814945076</v>
      </c>
      <c r="J18" s="42" t="s">
        <v>53</v>
      </c>
      <c r="K18" s="45">
        <f>+K19</f>
        <v>24141.25</v>
      </c>
      <c r="L18" s="45">
        <f t="shared" ref="L18:O18" si="26">+L19</f>
        <v>33407.274250000002</v>
      </c>
      <c r="M18" s="45">
        <f t="shared" si="26"/>
        <v>44044.663241950002</v>
      </c>
      <c r="N18" s="45">
        <f t="shared" si="26"/>
        <v>56259.644750491629</v>
      </c>
      <c r="O18" s="45">
        <f t="shared" si="26"/>
        <v>75811.546187260974</v>
      </c>
      <c r="P18" s="44">
        <f t="shared" si="3"/>
        <v>233664.3784297026</v>
      </c>
      <c r="R18" s="42" t="s">
        <v>53</v>
      </c>
      <c r="S18" s="45">
        <f>+S19</f>
        <v>18520.25</v>
      </c>
      <c r="T18" s="45">
        <f t="shared" ref="T18:W18" si="27">+T19</f>
        <v>27319.731249999997</v>
      </c>
      <c r="U18" s="45">
        <f t="shared" si="27"/>
        <v>37451.854172949999</v>
      </c>
      <c r="V18" s="45">
        <f t="shared" si="27"/>
        <v>49119.632528764632</v>
      </c>
      <c r="W18" s="45">
        <f t="shared" si="27"/>
        <v>62555.603496751806</v>
      </c>
      <c r="X18" s="56">
        <f t="shared" si="5"/>
        <v>194967.07144846645</v>
      </c>
    </row>
    <row r="19" spans="2:25" x14ac:dyDescent="0.25">
      <c r="B19" s="42" t="s">
        <v>54</v>
      </c>
      <c r="C19" s="43">
        <f>+C17*0.125</f>
        <v>28156.25</v>
      </c>
      <c r="D19" s="43">
        <f t="shared" ref="D19:G19" si="28">+D17*0.125</f>
        <v>37755.519249999998</v>
      </c>
      <c r="E19" s="43">
        <f t="shared" si="28"/>
        <v>48753.812576949997</v>
      </c>
      <c r="F19" s="43">
        <f t="shared" si="28"/>
        <v>61359.653480296634</v>
      </c>
      <c r="G19" s="43">
        <f t="shared" si="28"/>
        <v>75811.546187260974</v>
      </c>
      <c r="H19" s="44">
        <f t="shared" si="1"/>
        <v>251836.7814945076</v>
      </c>
      <c r="J19" s="42" t="s">
        <v>54</v>
      </c>
      <c r="K19" s="43">
        <f>+K17*0.125</f>
        <v>24141.25</v>
      </c>
      <c r="L19" s="43">
        <f t="shared" ref="L19:N19" si="29">+L17*0.125</f>
        <v>33407.274250000002</v>
      </c>
      <c r="M19" s="43">
        <f t="shared" si="29"/>
        <v>44044.663241950002</v>
      </c>
      <c r="N19" s="43">
        <f t="shared" si="29"/>
        <v>56259.644750491629</v>
      </c>
      <c r="O19" s="43">
        <f>+G19</f>
        <v>75811.546187260974</v>
      </c>
      <c r="P19" s="44">
        <f t="shared" si="3"/>
        <v>233664.3784297026</v>
      </c>
      <c r="R19" s="42" t="s">
        <v>54</v>
      </c>
      <c r="S19" s="43">
        <f>+S17*0.125</f>
        <v>18520.25</v>
      </c>
      <c r="T19" s="43">
        <f t="shared" ref="T19:W19" si="30">+T17*0.125</f>
        <v>27319.731249999997</v>
      </c>
      <c r="U19" s="43">
        <f t="shared" si="30"/>
        <v>37451.854172949999</v>
      </c>
      <c r="V19" s="43">
        <f t="shared" si="30"/>
        <v>49119.632528764632</v>
      </c>
      <c r="W19" s="43">
        <f t="shared" si="30"/>
        <v>62555.603496751806</v>
      </c>
      <c r="X19" s="56">
        <f t="shared" si="5"/>
        <v>194967.07144846645</v>
      </c>
    </row>
    <row r="20" spans="2:25" x14ac:dyDescent="0.25">
      <c r="B20" s="42" t="s">
        <v>55</v>
      </c>
      <c r="C20" s="43">
        <f>+C17-C19</f>
        <v>197093.75</v>
      </c>
      <c r="D20" s="43">
        <f t="shared" ref="D20:G20" si="31">+D17-D19</f>
        <v>264288.63474999997</v>
      </c>
      <c r="E20" s="43">
        <f t="shared" si="31"/>
        <v>341276.68803864997</v>
      </c>
      <c r="F20" s="43">
        <f t="shared" si="31"/>
        <v>429517.57436207647</v>
      </c>
      <c r="G20" s="43">
        <f t="shared" si="31"/>
        <v>530680.82331082679</v>
      </c>
      <c r="H20" s="44">
        <f t="shared" si="1"/>
        <v>1762857.4704615534</v>
      </c>
      <c r="J20" s="42" t="s">
        <v>55</v>
      </c>
      <c r="K20" s="43">
        <f>+K17-K19</f>
        <v>168988.75</v>
      </c>
      <c r="L20" s="43">
        <f t="shared" ref="L20:O20" si="32">+L17-L19</f>
        <v>233850.91975</v>
      </c>
      <c r="M20" s="43">
        <f t="shared" si="32"/>
        <v>308312.64269365004</v>
      </c>
      <c r="N20" s="43">
        <f t="shared" si="32"/>
        <v>393817.51325344143</v>
      </c>
      <c r="O20" s="47">
        <f t="shared" si="32"/>
        <v>486494.34767579625</v>
      </c>
      <c r="P20" s="44">
        <f t="shared" si="3"/>
        <v>1591464.1733728875</v>
      </c>
      <c r="R20" s="42" t="s">
        <v>55</v>
      </c>
      <c r="S20" s="43">
        <f>+S17-S19</f>
        <v>129641.75</v>
      </c>
      <c r="T20" s="43">
        <f t="shared" ref="T20:W20" si="33">+T17-T19</f>
        <v>191238.11874999997</v>
      </c>
      <c r="U20" s="43">
        <f t="shared" si="33"/>
        <v>262162.97921064997</v>
      </c>
      <c r="V20" s="43">
        <f t="shared" si="33"/>
        <v>343837.4277013524</v>
      </c>
      <c r="W20" s="47">
        <f t="shared" si="33"/>
        <v>437889.22447726264</v>
      </c>
      <c r="X20" s="56">
        <f t="shared" si="5"/>
        <v>1364769.5001392651</v>
      </c>
    </row>
    <row r="21" spans="2:25" x14ac:dyDescent="0.25">
      <c r="B21" s="48" t="s">
        <v>56</v>
      </c>
      <c r="C21" s="49">
        <f>+C20</f>
        <v>197093.75</v>
      </c>
      <c r="D21" s="49">
        <f>+C21+D20</f>
        <v>461382.38474999997</v>
      </c>
      <c r="E21" s="49">
        <f>+E20+D21</f>
        <v>802659.07278864994</v>
      </c>
      <c r="F21" s="47">
        <f>+E21+F20</f>
        <v>1232176.6471507265</v>
      </c>
      <c r="G21" s="50">
        <f>+F21+G20</f>
        <v>1762857.4704615534</v>
      </c>
      <c r="H21" s="44">
        <f t="shared" si="1"/>
        <v>4456169.3251509294</v>
      </c>
      <c r="J21" s="48" t="s">
        <v>56</v>
      </c>
      <c r="K21" s="49">
        <f>+K20</f>
        <v>168988.75</v>
      </c>
      <c r="L21" s="49">
        <f>+K21+L20</f>
        <v>402839.66975</v>
      </c>
      <c r="M21" s="49">
        <f>+M20+L21</f>
        <v>711152.31244365009</v>
      </c>
      <c r="N21" s="47">
        <f>+N20+M21</f>
        <v>1104969.8256970914</v>
      </c>
      <c r="O21" s="43">
        <f>+O20+N21</f>
        <v>1591464.1733728875</v>
      </c>
      <c r="P21" s="44">
        <f t="shared" si="3"/>
        <v>3979414.7312636292</v>
      </c>
      <c r="Q21" s="57"/>
      <c r="R21" s="48" t="s">
        <v>56</v>
      </c>
      <c r="S21" s="49">
        <f>+S20</f>
        <v>129641.75</v>
      </c>
      <c r="T21" s="49">
        <f>+T20+S21</f>
        <v>320879.86874999997</v>
      </c>
      <c r="U21" s="49">
        <f>+T21+U20</f>
        <v>583042.84796064999</v>
      </c>
      <c r="V21" s="47">
        <f>+U21+V20</f>
        <v>926880.27566200239</v>
      </c>
      <c r="W21" s="58">
        <f>+W20+V21</f>
        <v>1364769.5001392651</v>
      </c>
      <c r="X21" s="56">
        <f t="shared" si="5"/>
        <v>3325214.2425119174</v>
      </c>
    </row>
    <row r="22" spans="2:25" x14ac:dyDescent="0.25">
      <c r="B22" s="51"/>
      <c r="C22" s="52"/>
      <c r="D22" s="52"/>
      <c r="E22" s="52"/>
      <c r="F22" s="52"/>
      <c r="G22" s="52"/>
      <c r="H22" s="53"/>
      <c r="J22" s="51"/>
      <c r="K22" s="52"/>
      <c r="L22" s="52"/>
      <c r="M22" s="52"/>
      <c r="N22" s="52"/>
      <c r="O22" s="59"/>
      <c r="P22" s="53"/>
      <c r="Q22" s="53"/>
      <c r="R22" s="51"/>
      <c r="S22" s="52"/>
      <c r="T22" s="52"/>
      <c r="U22" s="52"/>
      <c r="V22" s="52"/>
      <c r="W22" s="60"/>
      <c r="X22" s="61"/>
    </row>
    <row r="23" spans="2:25" x14ac:dyDescent="0.25">
      <c r="B23" s="40" t="s">
        <v>75</v>
      </c>
      <c r="C23" s="133">
        <f>+H6/H23</f>
        <v>1.7311218565725193</v>
      </c>
      <c r="H23" s="95">
        <f>+H7+H16</f>
        <v>2755620.3303795299</v>
      </c>
      <c r="J23" s="62" t="s">
        <v>113</v>
      </c>
      <c r="K23" s="63">
        <f>+P6/Q23</f>
        <v>1.6196989028473323</v>
      </c>
      <c r="L23" s="52"/>
      <c r="M23" s="52"/>
      <c r="N23" s="52"/>
      <c r="O23" s="59"/>
      <c r="P23" s="64">
        <f>+P16+P7</f>
        <v>2945186.0305330004</v>
      </c>
      <c r="Q23" s="64">
        <f>+P7+P16</f>
        <v>2945186.0305330004</v>
      </c>
      <c r="R23" s="65" t="s">
        <v>114</v>
      </c>
      <c r="S23" s="66">
        <f>+X6/Y23</f>
        <v>1.485811765472228</v>
      </c>
      <c r="T23" s="52"/>
      <c r="U23" s="52"/>
      <c r="V23" s="52"/>
      <c r="W23" s="60"/>
      <c r="X23" s="61"/>
      <c r="Y23" s="64">
        <f>+X7+X16</f>
        <v>3210578.0107478593</v>
      </c>
    </row>
    <row r="24" spans="2:25" x14ac:dyDescent="0.25">
      <c r="X24" s="94"/>
      <c r="Y24" s="94"/>
    </row>
    <row r="25" spans="2:25" x14ac:dyDescent="0.25">
      <c r="X25" s="94"/>
      <c r="Y25" s="94"/>
    </row>
    <row r="26" spans="2:25" x14ac:dyDescent="0.25">
      <c r="X26" s="94"/>
      <c r="Y26" s="94"/>
    </row>
    <row r="27" spans="2:25" x14ac:dyDescent="0.25">
      <c r="X27" s="94"/>
      <c r="Y27" s="94"/>
    </row>
    <row r="28" spans="2:25" x14ac:dyDescent="0.25">
      <c r="X28" s="94"/>
      <c r="Y28" s="94"/>
    </row>
    <row r="29" spans="2:25" x14ac:dyDescent="0.25">
      <c r="X29" s="94"/>
      <c r="Y29" s="94"/>
    </row>
    <row r="30" spans="2:25" x14ac:dyDescent="0.25">
      <c r="X30" s="94"/>
      <c r="Y30" s="94"/>
    </row>
  </sheetData>
  <mergeCells count="3">
    <mergeCell ref="B2:H2"/>
    <mergeCell ref="J2:P2"/>
    <mergeCell ref="R2:X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10"/>
  <sheetViews>
    <sheetView workbookViewId="0">
      <selection activeCell="E13" sqref="E13"/>
    </sheetView>
  </sheetViews>
  <sheetFormatPr baseColWidth="10" defaultRowHeight="15" x14ac:dyDescent="0.25"/>
  <cols>
    <col min="2" max="2" width="19.5703125" bestFit="1" customWidth="1"/>
  </cols>
  <sheetData>
    <row r="1" spans="2:13" x14ac:dyDescent="0.25">
      <c r="B1" s="139" t="s">
        <v>91</v>
      </c>
      <c r="C1" s="141"/>
    </row>
    <row r="2" spans="2:13" x14ac:dyDescent="0.25">
      <c r="I2" s="111"/>
      <c r="J2" s="111"/>
      <c r="K2" s="111"/>
      <c r="L2" s="111"/>
      <c r="M2" s="111"/>
    </row>
    <row r="3" spans="2:13" x14ac:dyDescent="0.25">
      <c r="B3" s="67" t="s">
        <v>57</v>
      </c>
      <c r="C3" s="67"/>
      <c r="D3" s="67" t="s">
        <v>58</v>
      </c>
      <c r="E3" s="67"/>
      <c r="F3" s="67" t="s">
        <v>59</v>
      </c>
      <c r="G3" s="67"/>
      <c r="H3" s="134"/>
      <c r="I3" s="111"/>
      <c r="J3" s="127" t="s">
        <v>78</v>
      </c>
      <c r="K3" s="127" t="s">
        <v>79</v>
      </c>
      <c r="L3" s="127" t="s">
        <v>80</v>
      </c>
      <c r="M3" s="111"/>
    </row>
    <row r="4" spans="2:13" ht="36" x14ac:dyDescent="0.25">
      <c r="B4" s="68" t="s">
        <v>60</v>
      </c>
      <c r="C4" s="68" t="s">
        <v>61</v>
      </c>
      <c r="D4" s="68" t="s">
        <v>60</v>
      </c>
      <c r="E4" s="68" t="s">
        <v>61</v>
      </c>
      <c r="F4" s="68" t="s">
        <v>60</v>
      </c>
      <c r="G4" s="68" t="s">
        <v>61</v>
      </c>
      <c r="H4" s="135"/>
      <c r="I4" s="111"/>
      <c r="J4" s="128">
        <f>B5</f>
        <v>1.9101732862642504</v>
      </c>
      <c r="K4" s="128">
        <f>D5</f>
        <v>1.7754063730754142</v>
      </c>
      <c r="L4" s="128">
        <f>F5</f>
        <v>1.6171074066003979</v>
      </c>
      <c r="M4" s="111"/>
    </row>
    <row r="5" spans="2:13" x14ac:dyDescent="0.25">
      <c r="B5" s="69">
        <f>+'Flujo de caja'!C18</f>
        <v>1.9101732862642504</v>
      </c>
      <c r="C5" s="70">
        <f>+'Estados financiero'!C23</f>
        <v>1.7311218565725193</v>
      </c>
      <c r="D5" s="70">
        <f>+'Flujo de caja'!N17</f>
        <v>1.7754063730754142</v>
      </c>
      <c r="E5" s="70">
        <f>+'Estados financiero'!K23</f>
        <v>1.6196989028473323</v>
      </c>
      <c r="F5" s="71">
        <f>+'Flujo de caja'!V17</f>
        <v>1.6171074066003979</v>
      </c>
      <c r="G5" s="71">
        <f>+'Estados financiero'!S23</f>
        <v>1.485811765472228</v>
      </c>
      <c r="H5" s="136"/>
      <c r="I5" s="111"/>
      <c r="J5" s="111"/>
      <c r="K5" s="111"/>
      <c r="L5" s="111"/>
      <c r="M5" s="111"/>
    </row>
    <row r="6" spans="2:13" x14ac:dyDescent="0.25">
      <c r="I6" s="111"/>
      <c r="J6" s="111"/>
      <c r="K6" s="111"/>
      <c r="L6" s="111"/>
      <c r="M6" s="111"/>
    </row>
    <row r="7" spans="2:13" x14ac:dyDescent="0.25">
      <c r="I7" s="111"/>
      <c r="J7" s="111"/>
      <c r="K7" s="111"/>
      <c r="L7" s="111"/>
      <c r="M7" s="111"/>
    </row>
    <row r="8" spans="2:13" x14ac:dyDescent="0.25">
      <c r="I8" s="111"/>
      <c r="J8" s="111"/>
      <c r="K8" s="111"/>
      <c r="L8" s="111"/>
      <c r="M8" s="111"/>
    </row>
    <row r="9" spans="2:13" x14ac:dyDescent="0.25">
      <c r="I9" s="111"/>
      <c r="J9" s="111"/>
      <c r="K9" s="111"/>
      <c r="L9" s="111"/>
      <c r="M9" s="111"/>
    </row>
    <row r="10" spans="2:13" x14ac:dyDescent="0.25">
      <c r="I10" s="111"/>
      <c r="J10" s="111"/>
      <c r="K10" s="111"/>
      <c r="L10" s="111"/>
      <c r="M10" s="1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Inversion</vt:lpstr>
      <vt:lpstr>Egresos</vt:lpstr>
      <vt:lpstr>Ingresos </vt:lpstr>
      <vt:lpstr>Servicio de la deuda</vt:lpstr>
      <vt:lpstr>Flujo de caja</vt:lpstr>
      <vt:lpstr>Estados financiero</vt:lpstr>
      <vt:lpstr>Escenario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SALGADO</dc:creator>
  <cp:lastModifiedBy>Usuario de Windows</cp:lastModifiedBy>
  <cp:lastPrinted>2023-03-09T16:18:59Z</cp:lastPrinted>
  <dcterms:created xsi:type="dcterms:W3CDTF">2022-11-05T05:18:02Z</dcterms:created>
  <dcterms:modified xsi:type="dcterms:W3CDTF">2023-03-09T16:19:03Z</dcterms:modified>
</cp:coreProperties>
</file>